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äyttäjä\Documents\PESÄPALLOKIRJA 2024\"/>
    </mc:Choice>
  </mc:AlternateContent>
  <xr:revisionPtr revIDLastSave="0" documentId="13_ncr:1_{3F717933-6093-4AC4-883E-5265709F104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NYP 2024" sheetId="66" r:id="rId1"/>
    <sheet name="Tarmo" sheetId="94" r:id="rId2"/>
    <sheet name="Jalas" sheetId="56" r:id="rId3"/>
    <sheet name="Jana" sheetId="51" r:id="rId4"/>
    <sheet name="Kirittäret 2" sheetId="87" r:id="rId5"/>
    <sheet name="KPK" sheetId="77" r:id="rId6"/>
    <sheet name="Puhti" sheetId="95" r:id="rId7"/>
    <sheet name="LaJy" sheetId="93" r:id="rId8"/>
    <sheet name="LaVe" sheetId="88" r:id="rId9"/>
    <sheet name="Pesä Ysit" sheetId="92" r:id="rId10"/>
    <sheet name="PattU" sheetId="83" r:id="rId11"/>
    <sheet name="Pesäkarhut 2" sheetId="60" r:id="rId12"/>
    <sheet name="Likat" sheetId="84" r:id="rId13"/>
    <sheet name="SMJ 2" sheetId="76" r:id="rId14"/>
    <sheet name="SiiPe" sheetId="79" r:id="rId15"/>
    <sheet name="TyTe" sheetId="90" r:id="rId16"/>
    <sheet name="YK" sheetId="89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4" i="94" l="1"/>
  <c r="V23" i="94"/>
  <c r="V19" i="94"/>
  <c r="V18" i="94"/>
  <c r="V17" i="94"/>
  <c r="V15" i="94"/>
  <c r="V13" i="94" l="1"/>
  <c r="V11" i="94" l="1"/>
  <c r="V22" i="56"/>
  <c r="V20" i="56" l="1"/>
  <c r="V16" i="56" l="1"/>
  <c r="V12" i="56"/>
  <c r="V24" i="51" l="1"/>
  <c r="V23" i="51"/>
  <c r="V22" i="51"/>
  <c r="V21" i="51"/>
  <c r="V19" i="51" l="1"/>
  <c r="V18" i="51"/>
  <c r="V17" i="51"/>
  <c r="V16" i="51"/>
  <c r="V15" i="51"/>
  <c r="V14" i="51" l="1"/>
  <c r="V13" i="51" l="1"/>
  <c r="V12" i="51" l="1"/>
  <c r="V11" i="51" l="1"/>
  <c r="V10" i="51" l="1"/>
  <c r="V21" i="87"/>
  <c r="V20" i="87"/>
  <c r="V19" i="87"/>
  <c r="V17" i="87"/>
  <c r="V16" i="87"/>
  <c r="V15" i="87"/>
  <c r="V14" i="87"/>
  <c r="V13" i="87"/>
  <c r="V12" i="87"/>
  <c r="V11" i="87"/>
  <c r="V10" i="87"/>
  <c r="V27" i="95" l="1"/>
  <c r="V14" i="95" l="1"/>
  <c r="V10" i="95" l="1"/>
  <c r="V19" i="93" l="1"/>
  <c r="V18" i="93"/>
  <c r="V14" i="93"/>
  <c r="V13" i="93"/>
  <c r="V12" i="88"/>
  <c r="V23" i="92"/>
  <c r="V18" i="92"/>
  <c r="V17" i="92"/>
  <c r="V19" i="60"/>
  <c r="V22" i="76"/>
  <c r="V18" i="76" l="1"/>
  <c r="V15" i="76"/>
  <c r="V14" i="76"/>
  <c r="V11" i="76"/>
  <c r="V24" i="84" l="1"/>
  <c r="V23" i="84"/>
  <c r="V21" i="84"/>
  <c r="V20" i="84"/>
  <c r="V19" i="84"/>
  <c r="V18" i="84" l="1"/>
  <c r="V17" i="84"/>
  <c r="V15" i="84"/>
  <c r="V14" i="84" l="1"/>
  <c r="V12" i="84"/>
  <c r="V11" i="84" l="1"/>
  <c r="V10" i="84"/>
  <c r="V15" i="79" l="1"/>
  <c r="V25" i="90" l="1"/>
  <c r="V22" i="90"/>
  <c r="V21" i="90"/>
  <c r="V20" i="90"/>
  <c r="V19" i="90"/>
  <c r="V18" i="90"/>
  <c r="V17" i="90" l="1"/>
  <c r="V16" i="90"/>
  <c r="V15" i="90"/>
  <c r="V14" i="90"/>
  <c r="V13" i="90"/>
  <c r="V11" i="90"/>
  <c r="X104" i="66" l="1"/>
  <c r="X103" i="66"/>
  <c r="X102" i="66"/>
  <c r="X101" i="66"/>
  <c r="X100" i="66"/>
  <c r="X99" i="66"/>
  <c r="X98" i="66"/>
  <c r="X97" i="66"/>
  <c r="X96" i="66"/>
  <c r="X95" i="66"/>
  <c r="O104" i="66" l="1"/>
  <c r="N104" i="66"/>
  <c r="O103" i="66"/>
  <c r="N103" i="66"/>
  <c r="O102" i="66"/>
  <c r="N102" i="66"/>
  <c r="O101" i="66"/>
  <c r="N101" i="66"/>
  <c r="O100" i="66"/>
  <c r="N100" i="66"/>
  <c r="O99" i="66"/>
  <c r="N99" i="66"/>
  <c r="O98" i="66"/>
  <c r="N98" i="66"/>
  <c r="O97" i="66"/>
  <c r="N97" i="66"/>
  <c r="O96" i="66"/>
  <c r="N96" i="66"/>
  <c r="O95" i="66"/>
  <c r="N95" i="66"/>
  <c r="O94" i="66"/>
  <c r="N94" i="66"/>
  <c r="O93" i="66"/>
  <c r="N93" i="66"/>
  <c r="O92" i="66"/>
  <c r="N92" i="66"/>
  <c r="O91" i="66"/>
  <c r="N91" i="66"/>
  <c r="O90" i="66"/>
  <c r="N90" i="66"/>
  <c r="O89" i="66"/>
  <c r="N89" i="66"/>
  <c r="O88" i="66"/>
  <c r="N88" i="66"/>
  <c r="O87" i="66"/>
  <c r="N87" i="66"/>
  <c r="O86" i="66"/>
  <c r="N86" i="66"/>
  <c r="O85" i="66"/>
  <c r="N85" i="66"/>
  <c r="O84" i="66"/>
  <c r="N84" i="66"/>
  <c r="O83" i="66"/>
  <c r="O82" i="66"/>
  <c r="N82" i="66"/>
  <c r="O81" i="66"/>
  <c r="N81" i="66"/>
  <c r="O80" i="66"/>
  <c r="O79" i="66"/>
  <c r="N79" i="66"/>
  <c r="O78" i="66"/>
  <c r="N78" i="66"/>
  <c r="O77" i="66"/>
  <c r="N77" i="66"/>
  <c r="O76" i="66"/>
  <c r="O75" i="66"/>
  <c r="N75" i="66"/>
  <c r="O74" i="66"/>
  <c r="N74" i="66"/>
  <c r="O73" i="66"/>
  <c r="N73" i="66"/>
  <c r="O72" i="66"/>
  <c r="N72" i="66"/>
  <c r="O71" i="66"/>
  <c r="N71" i="66"/>
  <c r="O70" i="66"/>
  <c r="N70" i="66"/>
  <c r="O69" i="66"/>
  <c r="N69" i="66"/>
  <c r="O68" i="66"/>
  <c r="N68" i="66"/>
  <c r="O67" i="66"/>
  <c r="N67" i="66"/>
  <c r="O66" i="66"/>
  <c r="N66" i="66"/>
  <c r="O65" i="66"/>
  <c r="N65" i="66"/>
  <c r="O64" i="66"/>
  <c r="O63" i="66"/>
  <c r="N63" i="66"/>
  <c r="O62" i="66"/>
  <c r="N62" i="66"/>
  <c r="O61" i="66"/>
  <c r="O60" i="66"/>
  <c r="N60" i="66"/>
  <c r="O59" i="66"/>
  <c r="N59" i="66"/>
  <c r="O58" i="66"/>
  <c r="O57" i="66"/>
  <c r="N57" i="66"/>
  <c r="O56" i="66"/>
  <c r="N56" i="66"/>
  <c r="O55" i="66"/>
  <c r="N55" i="66"/>
  <c r="O54" i="66"/>
  <c r="N54" i="66"/>
  <c r="O53" i="66"/>
  <c r="N53" i="66"/>
  <c r="O52" i="66"/>
  <c r="O51" i="66"/>
  <c r="N51" i="66"/>
  <c r="O50" i="66"/>
  <c r="N50" i="66"/>
  <c r="O49" i="66"/>
  <c r="N49" i="66"/>
  <c r="O48" i="66"/>
  <c r="O47" i="66"/>
  <c r="O46" i="66"/>
  <c r="O45" i="66"/>
  <c r="N45" i="66"/>
  <c r="O44" i="66"/>
  <c r="O43" i="66"/>
  <c r="N43" i="66"/>
  <c r="O42" i="66"/>
  <c r="N42" i="66"/>
  <c r="O41" i="66"/>
  <c r="O40" i="66"/>
  <c r="N40" i="66"/>
  <c r="O39" i="66"/>
  <c r="N39" i="66"/>
  <c r="O38" i="66"/>
  <c r="O37" i="66"/>
  <c r="N37" i="66"/>
  <c r="O36" i="66"/>
  <c r="N36" i="66"/>
  <c r="O35" i="66"/>
  <c r="N35" i="66"/>
  <c r="O34" i="66"/>
  <c r="O33" i="66"/>
  <c r="O32" i="66"/>
  <c r="N32" i="66"/>
  <c r="O31" i="66"/>
  <c r="O30" i="66"/>
  <c r="O29" i="66"/>
  <c r="O28" i="66"/>
  <c r="N28" i="66"/>
  <c r="O27" i="66"/>
  <c r="N27" i="66"/>
  <c r="O26" i="66"/>
  <c r="N26" i="66"/>
  <c r="O25" i="66"/>
  <c r="O24" i="66"/>
  <c r="O23" i="66"/>
  <c r="N23" i="66"/>
  <c r="O22" i="66"/>
  <c r="N22" i="66"/>
  <c r="O21" i="66"/>
  <c r="N21" i="66"/>
  <c r="O20" i="66"/>
  <c r="N20" i="66"/>
  <c r="O19" i="66"/>
  <c r="N19" i="66"/>
  <c r="O18" i="66"/>
  <c r="O17" i="66"/>
  <c r="O16" i="66"/>
  <c r="O15" i="66"/>
  <c r="O14" i="66"/>
  <c r="O13" i="66"/>
  <c r="N13" i="66"/>
  <c r="O12" i="66"/>
  <c r="O11" i="66"/>
  <c r="N11" i="66"/>
  <c r="O10" i="66"/>
  <c r="O9" i="66"/>
  <c r="O8" i="66"/>
  <c r="O7" i="66"/>
  <c r="O6" i="66"/>
  <c r="O5" i="66"/>
  <c r="O4" i="66"/>
  <c r="O3" i="66"/>
  <c r="N3" i="66"/>
</calcChain>
</file>

<file path=xl/sharedStrings.xml><?xml version="1.0" encoding="utf-8"?>
<sst xmlns="http://schemas.openxmlformats.org/spreadsheetml/2006/main" count="2553" uniqueCount="797">
  <si>
    <t>synt.aika</t>
  </si>
  <si>
    <t>Yleisöennätys:</t>
  </si>
  <si>
    <t>Pelikenttä:</t>
  </si>
  <si>
    <t>synt.paikka</t>
  </si>
  <si>
    <t>Seura perustettu:</t>
  </si>
  <si>
    <t>Pelaajat</t>
  </si>
  <si>
    <t>Ilmajoen Kisailijat</t>
  </si>
  <si>
    <t>Ilmajoki</t>
  </si>
  <si>
    <t>Seinäjoen Maila-Jussit</t>
  </si>
  <si>
    <t>Seinäjoki</t>
  </si>
  <si>
    <t>Nurmo</t>
  </si>
  <si>
    <t>Jalasjärvi</t>
  </si>
  <si>
    <t>Oulu</t>
  </si>
  <si>
    <t>OTT</t>
  </si>
  <si>
    <t>KUN</t>
  </si>
  <si>
    <t>LÖI</t>
  </si>
  <si>
    <t>TOI</t>
  </si>
  <si>
    <t>KL</t>
  </si>
  <si>
    <t>KL-%</t>
  </si>
  <si>
    <t>Hyvinkään Tahko</t>
  </si>
  <si>
    <t>Jalasjärven Jalas</t>
  </si>
  <si>
    <t>Hyvinkää</t>
  </si>
  <si>
    <t>Helsinki</t>
  </si>
  <si>
    <t>10.7.1914  Jalasjärven työväentalo</t>
  </si>
  <si>
    <t>Kauhajoen Karhu</t>
  </si>
  <si>
    <t>Pöytyän Urheilijat</t>
  </si>
  <si>
    <t>Pori</t>
  </si>
  <si>
    <t>28.11.1985  Ravintola Karhu Kruunu</t>
  </si>
  <si>
    <t>Janakkalan Jana</t>
  </si>
  <si>
    <t>Janakkala</t>
  </si>
  <si>
    <t>Pattijoen Urheilijat</t>
  </si>
  <si>
    <t>Kasvattajaseura</t>
  </si>
  <si>
    <t>Hämeenkyrön Räpsä</t>
  </si>
  <si>
    <t>Reetta Aralinna</t>
  </si>
  <si>
    <t>SIJA</t>
  </si>
  <si>
    <t>Superpesis</t>
  </si>
  <si>
    <t>-</t>
  </si>
  <si>
    <t>1960-</t>
  </si>
  <si>
    <t>1970-</t>
  </si>
  <si>
    <t>1980-</t>
  </si>
  <si>
    <t>1990-</t>
  </si>
  <si>
    <t>2000-</t>
  </si>
  <si>
    <t>2010-</t>
  </si>
  <si>
    <t>10</t>
  </si>
  <si>
    <t>2</t>
  </si>
  <si>
    <t>6</t>
  </si>
  <si>
    <t>1</t>
  </si>
  <si>
    <t>5</t>
  </si>
  <si>
    <t>4</t>
  </si>
  <si>
    <t>3</t>
  </si>
  <si>
    <t>Tyrnävä</t>
  </si>
  <si>
    <t>Tyrnävän Tempaus</t>
  </si>
  <si>
    <t>Muhoksen Pallo-Salamat</t>
  </si>
  <si>
    <t>Ylivieska</t>
  </si>
  <si>
    <t>Ylivieskan Kuula</t>
  </si>
  <si>
    <t>Nurmon Jymy</t>
  </si>
  <si>
    <t>Rauma</t>
  </si>
  <si>
    <t>Kuusankosken Puhti</t>
  </si>
  <si>
    <t>YKKÖSPESIS, RUNKOSARJA JA JATKOSARJAT</t>
  </si>
  <si>
    <t>Ylihärmän Pesis-Junkkarit</t>
  </si>
  <si>
    <t>Kempeleen Kiri</t>
  </si>
  <si>
    <t>Raahe</t>
  </si>
  <si>
    <t>7</t>
  </si>
  <si>
    <t>8</t>
  </si>
  <si>
    <t>17.3.1929  Turengin Kuumolatalo</t>
  </si>
  <si>
    <t>Kansanpuisto, Lukiotie 1, 14200 Turenki</t>
  </si>
  <si>
    <t>Oulun Lippo Juniorit</t>
  </si>
  <si>
    <t xml:space="preserve">Kajaani </t>
  </si>
  <si>
    <t>Kajaanin Pallokerho</t>
  </si>
  <si>
    <t>Oulunsalon Vasama</t>
  </si>
  <si>
    <t>Alajärvi</t>
  </si>
  <si>
    <t>Alajärven Ankkurit</t>
  </si>
  <si>
    <t>Jyväskylä</t>
  </si>
  <si>
    <t>24.4.1933  Suojeluskuntatalo Sissilinna</t>
  </si>
  <si>
    <t>Mari Kemppainen</t>
  </si>
  <si>
    <t>Sotkamo</t>
  </si>
  <si>
    <t>Kajaanin liikuntapuisto, Lönnrotinkatu 1, 87100 Kajaani</t>
  </si>
  <si>
    <t>Oona Markkanen</t>
  </si>
  <si>
    <t>Sara Moilanen</t>
  </si>
  <si>
    <t>Kajaani</t>
  </si>
  <si>
    <t>Vuokatin Veto</t>
  </si>
  <si>
    <t>Mailajuniorit</t>
  </si>
  <si>
    <t>Kankaanpään Maila</t>
  </si>
  <si>
    <t>1750, 15.7.2008, KPK - Pilke 2-0 (8-2, 12-9), runkosarja, NYP</t>
  </si>
  <si>
    <t>Ulvila</t>
  </si>
  <si>
    <t>Ylihärmä</t>
  </si>
  <si>
    <t>Haminan Palloilijat</t>
  </si>
  <si>
    <t>Kuusankoski</t>
  </si>
  <si>
    <t>Veteli</t>
  </si>
  <si>
    <t>Veteli Pesis</t>
  </si>
  <si>
    <t>Vimpelin Veto</t>
  </si>
  <si>
    <t>Lappeenranta</t>
  </si>
  <si>
    <t>Jenika Uusipaavalniemi</t>
  </si>
  <si>
    <t>Ruoveden Pirkat</t>
  </si>
  <si>
    <t>Erku-Areena Urheilukeskus, Metsämiehenkatu, 28500 Pori</t>
  </si>
  <si>
    <t>Lappajärven Veikot</t>
  </si>
  <si>
    <t>1.9.1911  Lappajärven nuorisoseuratalon kahvila</t>
  </si>
  <si>
    <t>418, 10.7.2017, LaVe - Virkiä, 0-2 (1-6, 0-2), runkosarja, NSU</t>
  </si>
  <si>
    <t>Veikkola, Käpykankaantie 1, 62600 Lappajärvi</t>
  </si>
  <si>
    <t>Vimpeli</t>
  </si>
  <si>
    <t>Kiia Korpi</t>
  </si>
  <si>
    <t>Sanna Särkijärvi</t>
  </si>
  <si>
    <t xml:space="preserve">Talvella 1928, Pattijoen nuorisoseuran talo Kuuselassa </t>
  </si>
  <si>
    <t>MiiluAreena, Rännärintie, 92140 Pattijoki</t>
  </si>
  <si>
    <t>Essi Bäckman</t>
  </si>
  <si>
    <t>Pattijoki</t>
  </si>
  <si>
    <t>Joensuu</t>
  </si>
  <si>
    <t>Joensuun Maila</t>
  </si>
  <si>
    <t>Kempele</t>
  </si>
  <si>
    <t>Turku</t>
  </si>
  <si>
    <t>Sotkamon Jymy-Pesis</t>
  </si>
  <si>
    <t>Saana Lahti</t>
  </si>
  <si>
    <t>Kinnula</t>
  </si>
  <si>
    <t>Kinnulan Kimmot</t>
  </si>
  <si>
    <t>Pesäkarhut 2</t>
  </si>
  <si>
    <t>2. pelinjohtaja:</t>
  </si>
  <si>
    <t>1. pelinjohtaja:</t>
  </si>
  <si>
    <t>Pukkioniemi, Kisatie, 61600 Jalasjärvi</t>
  </si>
  <si>
    <t>2020-</t>
  </si>
  <si>
    <t>16.9.2004  Jyväskylän Etukenttä Oy:n toimisto</t>
  </si>
  <si>
    <t>Sanna Ahola</t>
  </si>
  <si>
    <t>Ella Jääskeläinen</t>
  </si>
  <si>
    <t>Riikka Mervola</t>
  </si>
  <si>
    <t>Iiris Rautio</t>
  </si>
  <si>
    <t>Venla Vapaavuori</t>
  </si>
  <si>
    <t>Vilma Nevalainen</t>
  </si>
  <si>
    <t>Milla Hakomäki</t>
  </si>
  <si>
    <t>Kannus</t>
  </si>
  <si>
    <t>Kannuksen Ura</t>
  </si>
  <si>
    <t>Kouvola</t>
  </si>
  <si>
    <t>Laitilan Jyske</t>
  </si>
  <si>
    <t>Riku Lokka, 040 523 4551, riku.lokka@gmail.com</t>
  </si>
  <si>
    <t>Haapajärvi</t>
  </si>
  <si>
    <t>Haapajärven Pesä-Kiilat</t>
  </si>
  <si>
    <t>Hippoksen pesällostadion, Rautpohjankatu 6, 40700 Jyväskylä</t>
  </si>
  <si>
    <t>Porvoo</t>
  </si>
  <si>
    <t>Kitee</t>
  </si>
  <si>
    <t>Jenna Ahlholm</t>
  </si>
  <si>
    <t>Nivala</t>
  </si>
  <si>
    <t>Ninni Fasse</t>
  </si>
  <si>
    <t>Katariina Ylöstalo</t>
  </si>
  <si>
    <t>Anna-Elisa Pukkinen</t>
  </si>
  <si>
    <t>13</t>
  </si>
  <si>
    <t>Jyväskylän Kirittäret 2</t>
  </si>
  <si>
    <t>Iida Järvinen</t>
  </si>
  <si>
    <t>Lappajärvi</t>
  </si>
  <si>
    <t>22.3.1976  Suomen Yhdyspankin Lappeenrannan konttori</t>
  </si>
  <si>
    <t>Lotta Anttonen</t>
  </si>
  <si>
    <t>Vanha kenttä, Leirikatu 27, 53100 Lappeenranta</t>
  </si>
  <si>
    <t>Tiia Saarela</t>
  </si>
  <si>
    <t>Nivala Pesis</t>
  </si>
  <si>
    <t>Laitila</t>
  </si>
  <si>
    <t>27.5.1911  Laitila</t>
  </si>
  <si>
    <t>Meeri Heikola</t>
  </si>
  <si>
    <t>Sami Mäki, 044 022 3201, sami.maki@laserkeskus.fi</t>
  </si>
  <si>
    <t>Laserkeskus Areena, Urheilutie 11, 23800 Laitila</t>
  </si>
  <si>
    <t>Essi Mäki</t>
  </si>
  <si>
    <t>Odessa Rinteelä</t>
  </si>
  <si>
    <t>Pinja Toivonen</t>
  </si>
  <si>
    <t>Emma Virtanen</t>
  </si>
  <si>
    <t>Kaarina</t>
  </si>
  <si>
    <t>Turku-Pesis</t>
  </si>
  <si>
    <t>25.3.1909  Raittiusseuran talo</t>
  </si>
  <si>
    <t>Sievi</t>
  </si>
  <si>
    <t>Sievin Sisu</t>
  </si>
  <si>
    <t>Nina Jutila</t>
  </si>
  <si>
    <t>Maiju Kamutta</t>
  </si>
  <si>
    <t>Suvannon urheilualue, Koskipuhdontie, 84100 Ylivieska</t>
  </si>
  <si>
    <t>Reisjärvi</t>
  </si>
  <si>
    <t>Reisjärven Pilke</t>
  </si>
  <si>
    <t>Meeri Seppälä</t>
  </si>
  <si>
    <t>Lumijoki</t>
  </si>
  <si>
    <t>Fanny Mäki-Jussila</t>
  </si>
  <si>
    <t>Salla Tegelberg</t>
  </si>
  <si>
    <t>Mari Rintala</t>
  </si>
  <si>
    <t>Kiteen Pallo-90</t>
  </si>
  <si>
    <t>Lapua</t>
  </si>
  <si>
    <t>Lapuan Virkiä</t>
  </si>
  <si>
    <t>Lahti</t>
  </si>
  <si>
    <t>Lahden Mailaveikot</t>
  </si>
  <si>
    <t>Maiju Peussa</t>
  </si>
  <si>
    <t>Ruovesi</t>
  </si>
  <si>
    <t>Kiia Jauhiainen</t>
  </si>
  <si>
    <t>Peräseinäjoen Toive</t>
  </si>
  <si>
    <t>Salla Ronkainen</t>
  </si>
  <si>
    <t>Neea Mattila</t>
  </si>
  <si>
    <t>Anni Saarenpää</t>
  </si>
  <si>
    <t>Oulainen</t>
  </si>
  <si>
    <t>Oulaisten Huima</t>
  </si>
  <si>
    <t>Heidi Karhula</t>
  </si>
  <si>
    <t>Venla Timisjärvi</t>
  </si>
  <si>
    <t>Miia Vuoti</t>
  </si>
  <si>
    <t>Jonna Haataja</t>
  </si>
  <si>
    <t>Iida Kyllinen</t>
  </si>
  <si>
    <t>Ellinoora Mäkelä</t>
  </si>
  <si>
    <t>Linnea Nikola</t>
  </si>
  <si>
    <t>Enni Paatero</t>
  </si>
  <si>
    <t>Vilma Järvinen</t>
  </si>
  <si>
    <t>Fanni Käyrä</t>
  </si>
  <si>
    <t>Kia Hannus</t>
  </si>
  <si>
    <t>Roosa Piironen</t>
  </si>
  <si>
    <t>Emmi Kohal</t>
  </si>
  <si>
    <t>Odessa Tiitto</t>
  </si>
  <si>
    <t>Kerttu Siipola</t>
  </si>
  <si>
    <t>Kotka</t>
  </si>
  <si>
    <t>Pesä Ysit</t>
  </si>
  <si>
    <t>Pesäkarhut</t>
  </si>
  <si>
    <t>Roihu</t>
  </si>
  <si>
    <t>Jyväskylän Kirittäret</t>
  </si>
  <si>
    <t>Fera</t>
  </si>
  <si>
    <t>419, 9.9.2021, YK - Ura 2-0 (5-3, 6-0), karsintasarja, NYP</t>
  </si>
  <si>
    <t>Ellen Erkkilä</t>
  </si>
  <si>
    <t>Minttu Jaakola</t>
  </si>
  <si>
    <t>Ulvilan Pesä-Veikot</t>
  </si>
  <si>
    <t>Kokemäen Kova-Väki</t>
  </si>
  <si>
    <t>Henna Rimpinen</t>
  </si>
  <si>
    <t>Fanny Rintala</t>
  </si>
  <si>
    <t>Pinja Karjalainen</t>
  </si>
  <si>
    <t>Julia Pasanen</t>
  </si>
  <si>
    <t>392, 30.6.2016 Jana - Paukku 0-2 (2-3, 0-8), runkosarja, NSS</t>
  </si>
  <si>
    <t>Maakuntasarja</t>
  </si>
  <si>
    <t>SUPERPESIS, RUNKOSARJA JA JATKOSARJAT</t>
  </si>
  <si>
    <t>Pörssi</t>
  </si>
  <si>
    <t>Seurat</t>
  </si>
  <si>
    <t>Seinäjoen Maila-Jussit 2</t>
  </si>
  <si>
    <t>DataCenter Stadion, Ouluhallintie 20, 90100 Oulu</t>
  </si>
  <si>
    <t>Linnea Hakkarainen</t>
  </si>
  <si>
    <t>Roosa Huttunen</t>
  </si>
  <si>
    <t>Aino Kesti</t>
  </si>
  <si>
    <t>Pinja Salonen</t>
  </si>
  <si>
    <t>Jenni Starck</t>
  </si>
  <si>
    <t>Kiimingin Urheilijat</t>
  </si>
  <si>
    <t>17.5.1932  Helsingin Ylioppilastalon Etelä-Pohjalainen osakunta</t>
  </si>
  <si>
    <t>Valtteri Niemelä, 050 432 2444, valtteri.niemelae@hotmail.com</t>
  </si>
  <si>
    <t>Skaala Areena, Kopparitie, 60510 Hyllykallio</t>
  </si>
  <si>
    <t>Elisa Heikkala</t>
  </si>
  <si>
    <t>Vantaa</t>
  </si>
  <si>
    <t>Kia Marttala</t>
  </si>
  <si>
    <t>Matilda Niskakangas</t>
  </si>
  <si>
    <t>Hertta Turja</t>
  </si>
  <si>
    <t>Laihia</t>
  </si>
  <si>
    <t>Fanni Tuuri</t>
  </si>
  <si>
    <t>Oona Winter</t>
  </si>
  <si>
    <t>Ella Hannuniemi</t>
  </si>
  <si>
    <t>30.10.1921  Tyrnävän Nuorisoseurantalo Väinölä</t>
  </si>
  <si>
    <t>Sarita Heikkinen, 040 546 6021, saritaheikkinen86@gmail.com</t>
  </si>
  <si>
    <t>Tyrnävän pesäpallokenttä, Kirkkotie 91800, Tyrnävä</t>
  </si>
  <si>
    <t>Pinja Karttunen</t>
  </si>
  <si>
    <t>Lilian Koskela</t>
  </si>
  <si>
    <t>Laura Puurula</t>
  </si>
  <si>
    <t>Jenni Siltakoski</t>
  </si>
  <si>
    <t>Pinja Salmela</t>
  </si>
  <si>
    <t>KeKi</t>
  </si>
  <si>
    <t>Enni Pellikka</t>
  </si>
  <si>
    <t>Oulunsalo</t>
  </si>
  <si>
    <t>Henriikka Anttila</t>
  </si>
  <si>
    <t>Sanni Nättinen</t>
  </si>
  <si>
    <t>Mette-Marie Kontu</t>
  </si>
  <si>
    <t>05.11.2002</t>
  </si>
  <si>
    <t>Muhos</t>
  </si>
  <si>
    <t>Aino Näppä</t>
  </si>
  <si>
    <t>Elina Väre</t>
  </si>
  <si>
    <t>Laura Korkala</t>
  </si>
  <si>
    <t>Silja Hiltula</t>
  </si>
  <si>
    <t>Simo</t>
  </si>
  <si>
    <t>Simon Kiri</t>
  </si>
  <si>
    <t>Laura Sipola</t>
  </si>
  <si>
    <t>Sofia Tuovinen</t>
  </si>
  <si>
    <t xml:space="preserve">  Ykköspesis</t>
  </si>
  <si>
    <t xml:space="preserve"> Suomensarja</t>
  </si>
  <si>
    <t>Pesä Ysit, Manse PP, KeKi</t>
  </si>
  <si>
    <t>JoMa</t>
  </si>
  <si>
    <t>Aino Koistinen</t>
  </si>
  <si>
    <t>Noora Leppälä</t>
  </si>
  <si>
    <t>Marianne Sivonen</t>
  </si>
  <si>
    <t>Jerry Stenberg</t>
  </si>
  <si>
    <t>Ilomantsin Urheilijat</t>
  </si>
  <si>
    <t>Espoo</t>
  </si>
  <si>
    <t>Venla Kumpumäki</t>
  </si>
  <si>
    <t>Saku Alatalo</t>
  </si>
  <si>
    <t>Mikko Koski</t>
  </si>
  <si>
    <t>Laura Niinimaa</t>
  </si>
  <si>
    <t>Vilja Tapiainen</t>
  </si>
  <si>
    <t>Raksilan Likat</t>
  </si>
  <si>
    <t>Syksyllä 2022  Oulu</t>
  </si>
  <si>
    <t>Nelli Kilpi</t>
  </si>
  <si>
    <t>Iida Lastama</t>
  </si>
  <si>
    <t>Iida Mäki</t>
  </si>
  <si>
    <t>Marko Toivonen</t>
  </si>
  <si>
    <t>Ella-Maria Suominen</t>
  </si>
  <si>
    <t>Vilja Valkonen</t>
  </si>
  <si>
    <t>Minea Kivinen</t>
  </si>
  <si>
    <t>Amanda Tuomela</t>
  </si>
  <si>
    <t>Jaakko Kultalahti</t>
  </si>
  <si>
    <t>Anni Kangas</t>
  </si>
  <si>
    <t>Ellinoora Härkönen</t>
  </si>
  <si>
    <t>Roosa Nevalainen</t>
  </si>
  <si>
    <t>Salla Martimo</t>
  </si>
  <si>
    <t>Sähköposti</t>
  </si>
  <si>
    <t>Puhelin</t>
  </si>
  <si>
    <t>vartiamanu(at)gmail.com</t>
  </si>
  <si>
    <t>riku.lokka(at)icloud.com</t>
  </si>
  <si>
    <t>Kaisa Kuittinen</t>
  </si>
  <si>
    <t>Krista Piirainen</t>
  </si>
  <si>
    <t>Toholammin Urheilijat</t>
  </si>
  <si>
    <t>Espoon Pesis</t>
  </si>
  <si>
    <t>Oona Haapasalo</t>
  </si>
  <si>
    <t>Roosa Martinmäki</t>
  </si>
  <si>
    <t>Iida Piirainen</t>
  </si>
  <si>
    <t>Iida Säilynoja</t>
  </si>
  <si>
    <t>Saana Ojantakanen</t>
  </si>
  <si>
    <t>K</t>
  </si>
  <si>
    <t>163, 12.7.2012, Kirittäret 2 - KaMa 0-2 (2-5, 0-3), runkosarja, NYP</t>
  </si>
  <si>
    <t>297, 21.7.2018, Jalas - JoMa 1-2 (12-4, 1-2, 1-2), runkosarja, NYP</t>
  </si>
  <si>
    <t>310, 17.8.2022, LaJy - MyVe 1-0 (12-5, 2-2), play off, NYP</t>
  </si>
  <si>
    <t>1411, 6.9.2000, PattU - Lippo 2-1 (0-9, 1-0, 0-0, 1-0), 1/4 finaali, NSU</t>
  </si>
  <si>
    <t>2372, 10.9.2006, Pesä Ysit - Kirittäret 1-0 (5-2, 2-2), 2/5 finaali, NSU</t>
  </si>
  <si>
    <t>235, 11.7.2006, Pesäkarhut 2 - Fera 2  0-2 (1-2, 3-7), runkosarja, NYP</t>
  </si>
  <si>
    <t>147, 10.9.2022, SMJ 2 - Lippo Juniorit 2-0 (7-2, 5-3), nousukarsinta, NSS</t>
  </si>
  <si>
    <t>1345, 7.9.2003, TyTe - Kiri 0-2 (2-6, 2-4), 2/3 finaali, NSU</t>
  </si>
  <si>
    <t>KPK</t>
  </si>
  <si>
    <t>Emmi Aho</t>
  </si>
  <si>
    <t>Anna Palmroth</t>
  </si>
  <si>
    <t>Aada Heikkilä</t>
  </si>
  <si>
    <t>Viivi Keränen</t>
  </si>
  <si>
    <t>Reetta Lehtinen</t>
  </si>
  <si>
    <t>Sara Koivikko</t>
  </si>
  <si>
    <t>Hamina</t>
  </si>
  <si>
    <t>Ikaalisten Tarmo</t>
  </si>
  <si>
    <t>elokuussa 1910 Kuusankosken työväentalo</t>
  </si>
  <si>
    <t>180, 20.5.1995, Puhti - Pilke 2-0, runkosarja, NYP</t>
  </si>
  <si>
    <t>Kuusankosken urheilupuisto, Hiekkamäentie, 45700 Kuusankoski</t>
  </si>
  <si>
    <t>SUOMENSARJA, RUNKOSARJA JA JATKOSARJAT</t>
  </si>
  <si>
    <t>Iitti</t>
  </si>
  <si>
    <t>Kymi-Pesis</t>
  </si>
  <si>
    <t>Elli Holmi</t>
  </si>
  <si>
    <t>Erika Sauvala</t>
  </si>
  <si>
    <t>Pihla Tikka</t>
  </si>
  <si>
    <t>Annika Utriainen</t>
  </si>
  <si>
    <t>Valkeala</t>
  </si>
  <si>
    <t>Janita Utriainen</t>
  </si>
  <si>
    <t>Siilinjärven Pesis</t>
  </si>
  <si>
    <t>28.9.1987  Siilinjärven Maalikeskus</t>
  </si>
  <si>
    <t>2417, 29.8.1993, SiiPe - Virkiä 5-15, 1/2 finaali, NSU</t>
  </si>
  <si>
    <t>POP Areena, Jokisuuntie 14, 71800 Siilinjärvi</t>
  </si>
  <si>
    <t>Elsi Katainen</t>
  </si>
  <si>
    <t>Siilinjärvi</t>
  </si>
  <si>
    <t>Essi Kettunen</t>
  </si>
  <si>
    <t>Kuopio</t>
  </si>
  <si>
    <t>Puijon Pesis</t>
  </si>
  <si>
    <t>Ronja Varis</t>
  </si>
  <si>
    <t>Milja Tuunainen</t>
  </si>
  <si>
    <t>Ii</t>
  </si>
  <si>
    <t>NAISTEN YKKÖSPESIKSEN MARATONTAULUKKO 1985–2023</t>
  </si>
  <si>
    <t>JOUKKUE</t>
  </si>
  <si>
    <t>O</t>
  </si>
  <si>
    <t>3P</t>
  </si>
  <si>
    <t>2P</t>
  </si>
  <si>
    <t>T</t>
  </si>
  <si>
    <t>1P</t>
  </si>
  <si>
    <t>0P</t>
  </si>
  <si>
    <t>JUOKSUT</t>
  </si>
  <si>
    <t>PIST</t>
  </si>
  <si>
    <t>V-%</t>
  </si>
  <si>
    <t>1.</t>
  </si>
  <si>
    <t>2.</t>
  </si>
  <si>
    <t>3.</t>
  </si>
  <si>
    <t>4.</t>
  </si>
  <si>
    <t>5.</t>
  </si>
  <si>
    <t>6.</t>
  </si>
  <si>
    <t>Hämeenlinnan Paukku</t>
  </si>
  <si>
    <t>7.</t>
  </si>
  <si>
    <t>8.</t>
  </si>
  <si>
    <t>9.</t>
  </si>
  <si>
    <t>Vähänkyrön Viesti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</si>
  <si>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</si>
  <si>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</si>
  <si>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</si>
  <si>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</si>
  <si>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</si>
  <si>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</si>
  <si>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</si>
  <si>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</si>
  <si>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</si>
  <si>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</si>
  <si>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Vihdin Pallo</t>
  </si>
  <si>
    <t>20.</t>
  </si>
  <si>
    <t>21.</t>
  </si>
  <si>
    <t>22.</t>
  </si>
  <si>
    <t>Lapuan Virkiä 2</t>
  </si>
  <si>
    <t>23.</t>
  </si>
  <si>
    <t>24.</t>
  </si>
  <si>
    <t>25.</t>
  </si>
  <si>
    <t>26.</t>
  </si>
  <si>
    <t xml:space="preserve">Turku-Pesis </t>
  </si>
  <si>
    <t>27.</t>
  </si>
  <si>
    <t>28.</t>
  </si>
  <si>
    <t>29.</t>
  </si>
  <si>
    <t>Mynämäen Vesa</t>
  </si>
  <si>
    <t>30.</t>
  </si>
  <si>
    <t>31.</t>
  </si>
  <si>
    <t>32.</t>
  </si>
  <si>
    <t>Fera 2</t>
  </si>
  <si>
    <t>33.</t>
  </si>
  <si>
    <t>34.</t>
  </si>
  <si>
    <t>Sotkamon Jymy</t>
  </si>
  <si>
    <t>35.</t>
  </si>
  <si>
    <t>Viinijärven Urheilijat 2</t>
  </si>
  <si>
    <t>36.</t>
  </si>
  <si>
    <t>37.</t>
  </si>
  <si>
    <t>38.</t>
  </si>
  <si>
    <t>Mansen Pesäpallo</t>
  </si>
  <si>
    <t>39.</t>
  </si>
  <si>
    <t>Mailattaret</t>
  </si>
  <si>
    <t>40.</t>
  </si>
  <si>
    <t>Köyliön Lallit</t>
  </si>
  <si>
    <t>41.</t>
  </si>
  <si>
    <t>Viinijärven Urheilijat</t>
  </si>
  <si>
    <t>42.</t>
  </si>
  <si>
    <t>43.</t>
  </si>
  <si>
    <t>Siilinjärven Pesis 2</t>
  </si>
  <si>
    <t>44.</t>
  </si>
  <si>
    <t>45.</t>
  </si>
  <si>
    <t>46.</t>
  </si>
  <si>
    <t>Kajaanin Hymy</t>
  </si>
  <si>
    <t>47.</t>
  </si>
  <si>
    <t>48.</t>
  </si>
  <si>
    <t>Pesä Ysit 2</t>
  </si>
  <si>
    <t>49.</t>
  </si>
  <si>
    <t>Jyväskylän Lohi</t>
  </si>
  <si>
    <t>50.</t>
  </si>
  <si>
    <t>51.</t>
  </si>
  <si>
    <t>52.</t>
  </si>
  <si>
    <t>Oulun Lippo</t>
  </si>
  <si>
    <t>53.</t>
  </si>
  <si>
    <t>54.</t>
  </si>
  <si>
    <t>55.</t>
  </si>
  <si>
    <t>Kouvolan Pallonlyöjät</t>
  </si>
  <si>
    <t>56.</t>
  </si>
  <si>
    <t>Keravan Pallokerho</t>
  </si>
  <si>
    <t>57.</t>
  </si>
  <si>
    <t>Riihimäen Pallonlyöjät</t>
  </si>
  <si>
    <t>58.</t>
  </si>
  <si>
    <t>59.</t>
  </si>
  <si>
    <t>60.</t>
  </si>
  <si>
    <t>Simon Kiri-Siskot</t>
  </si>
  <si>
    <t>61.</t>
  </si>
  <si>
    <t>Imatran Pallo-Veikot</t>
  </si>
  <si>
    <t>62.</t>
  </si>
  <si>
    <t>63.</t>
  </si>
  <si>
    <t>Pomarkun Pyry</t>
  </si>
  <si>
    <t>64.</t>
  </si>
  <si>
    <t>65.</t>
  </si>
  <si>
    <t>66.</t>
  </si>
  <si>
    <t>67.</t>
  </si>
  <si>
    <t>PeTo-Jussit 2</t>
  </si>
  <si>
    <t>68.</t>
  </si>
  <si>
    <t>Jyväskylän Valo</t>
  </si>
  <si>
    <t>69.</t>
  </si>
  <si>
    <t>70.</t>
  </si>
  <si>
    <t>Turku-Pesis 2</t>
  </si>
  <si>
    <t>71.</t>
  </si>
  <si>
    <t>Oulun Lipottaret</t>
  </si>
  <si>
    <t>72.</t>
  </si>
  <si>
    <t>Pispalan Pesis</t>
  </si>
  <si>
    <t>73.</t>
  </si>
  <si>
    <t>Puurtilan Kisa-Pojat</t>
  </si>
  <si>
    <t>74.</t>
  </si>
  <si>
    <t>75.</t>
  </si>
  <si>
    <t>76.</t>
  </si>
  <si>
    <t>Jyväskylän Kiri 2</t>
  </si>
  <si>
    <t>77.</t>
  </si>
  <si>
    <t>Ylöjärven Pallo</t>
  </si>
  <si>
    <t>78.</t>
  </si>
  <si>
    <t>79.</t>
  </si>
  <si>
    <t>Lammin Luja</t>
  </si>
  <si>
    <t>80.</t>
  </si>
  <si>
    <t>Vantaanjoen Juoksu</t>
  </si>
  <si>
    <t>81.</t>
  </si>
  <si>
    <t>82.</t>
  </si>
  <si>
    <t>Oulun Lippo 2</t>
  </si>
  <si>
    <t>83.</t>
  </si>
  <si>
    <t>84.</t>
  </si>
  <si>
    <t>85.</t>
  </si>
  <si>
    <t>Helsingin Puna-Mustat</t>
  </si>
  <si>
    <t>86.</t>
  </si>
  <si>
    <t>Ylihärmän Junkkarit</t>
  </si>
  <si>
    <t>87.</t>
  </si>
  <si>
    <t>Vihdin Pallo 2</t>
  </si>
  <si>
    <t>88.</t>
  </si>
  <si>
    <t>89.</t>
  </si>
  <si>
    <t>Loimaan Palloilijat</t>
  </si>
  <si>
    <t>90.</t>
  </si>
  <si>
    <t>Vetelin Urheilijat</t>
  </si>
  <si>
    <t>91.</t>
  </si>
  <si>
    <t>Siilinjärven Ponnistus</t>
  </si>
  <si>
    <t>92.</t>
  </si>
  <si>
    <t>Loimaan Palloilijat Junioripesis</t>
  </si>
  <si>
    <t>93.</t>
  </si>
  <si>
    <t>Heinolan Maila-Pojat</t>
  </si>
  <si>
    <t>94.</t>
  </si>
  <si>
    <t>Kuusaan Pallo</t>
  </si>
  <si>
    <t>95.</t>
  </si>
  <si>
    <t>Tyrnävän Tempaus 2</t>
  </si>
  <si>
    <t>96.</t>
  </si>
  <si>
    <t>Jyväskylän Valo 2</t>
  </si>
  <si>
    <t>97.</t>
  </si>
  <si>
    <t>Alastaron Urheilijat</t>
  </si>
  <si>
    <t>98.</t>
  </si>
  <si>
    <t>Kotkan Into</t>
  </si>
  <si>
    <t>99.</t>
  </si>
  <si>
    <t>Nokian Urheilijat</t>
  </si>
  <si>
    <t>100.</t>
  </si>
  <si>
    <t>Karinaisten Kunto</t>
  </si>
  <si>
    <t>101.</t>
  </si>
  <si>
    <t>Nerkoon Nuorisoseuran Urheilijat</t>
  </si>
  <si>
    <t>102.</t>
  </si>
  <si>
    <t>Jyväskylän Kirittäret 3</t>
  </si>
  <si>
    <t>Ruoveden Pirkat, 2014 vähennetty kuusi pistettä</t>
  </si>
  <si>
    <t>NAISTEN YKKÖSPESIKSEN RUNKOSARJA 1985-2023</t>
  </si>
  <si>
    <t>Vuosi</t>
  </si>
  <si>
    <t>Sarjanimike</t>
  </si>
  <si>
    <t>Joukkueet</t>
  </si>
  <si>
    <t>Ottelut</t>
  </si>
  <si>
    <t>Lohkot ja (joukkuemäärät)</t>
  </si>
  <si>
    <t>Ykkössarja</t>
  </si>
  <si>
    <t>Pohjoislohko (6), Etelälohko (6)</t>
  </si>
  <si>
    <t>Itälohko (5), Länsilohko (6)</t>
  </si>
  <si>
    <t>Itälohko (6), Länsilohko (8)</t>
  </si>
  <si>
    <t>Itälohko (7), Länsilohko (7)</t>
  </si>
  <si>
    <t>Itälohko (8), Länsilohko (8)</t>
  </si>
  <si>
    <t>1992-1993</t>
  </si>
  <si>
    <t>Ykköspesis</t>
  </si>
  <si>
    <t>Runkosarja (12)</t>
  </si>
  <si>
    <t>1994-1997</t>
  </si>
  <si>
    <t>Pohjoislohko (8), Etelälohko (8)</t>
  </si>
  <si>
    <t>Pohjoislohko (7), Etelälohko (7)</t>
  </si>
  <si>
    <t>Runkosarja (10)</t>
  </si>
  <si>
    <t>Runkosarja (11)</t>
  </si>
  <si>
    <t>Runkosarja (9)</t>
  </si>
  <si>
    <t>Runkosarja (8)</t>
  </si>
  <si>
    <t>Etelälohko (8), Keskilohko (7), Länsilohko (7), Pohjoislohko (7)</t>
  </si>
  <si>
    <t>Etelälohko (7), Keskilohko (7), Länsilohko (7), Pohjoislohko (7)</t>
  </si>
  <si>
    <t>2010-2011</t>
  </si>
  <si>
    <t>Etelälohko (7), Keskilohko (6), Länsilohko (7), Pohjoislohko (7)</t>
  </si>
  <si>
    <t>2012-2013</t>
  </si>
  <si>
    <t>2017-2018</t>
  </si>
  <si>
    <t>Lohko A (8), Lohko B (8)</t>
  </si>
  <si>
    <t>Etelälohko (9), Pohjoislohko (8)</t>
  </si>
  <si>
    <t>Etelälohko (8), Pohjoislohko (8)</t>
  </si>
  <si>
    <t>Katariina Brandstaka</t>
  </si>
  <si>
    <t>Ikaalinen</t>
  </si>
  <si>
    <t>Hämeenkyrö</t>
  </si>
  <si>
    <t>Jemina Mäkinen</t>
  </si>
  <si>
    <t>Sofia Mäkinen</t>
  </si>
  <si>
    <t>Tampere</t>
  </si>
  <si>
    <t>Elsa Roivainen</t>
  </si>
  <si>
    <t>Elina Huttunen</t>
  </si>
  <si>
    <t>Neija Valli</t>
  </si>
  <si>
    <t>Kalle Airaksinen</t>
  </si>
  <si>
    <t>Elisa Hyny</t>
  </si>
  <si>
    <t>Maria Lahti</t>
  </si>
  <si>
    <t>Aleksanda Latvala</t>
  </si>
  <si>
    <t>Fanny Pasonen</t>
  </si>
  <si>
    <t>Jussi Jänkä</t>
  </si>
  <si>
    <t xml:space="preserve">  2023</t>
  </si>
  <si>
    <t xml:space="preserve">   2023</t>
  </si>
  <si>
    <t>Lotta Lindroos</t>
  </si>
  <si>
    <t>Jessika Sihvonen</t>
  </si>
  <si>
    <t>Anna Suominen</t>
  </si>
  <si>
    <t>Kukka-Maria Koutonen</t>
  </si>
  <si>
    <t>Iiris Larikka</t>
  </si>
  <si>
    <t>Annika Leppälä</t>
  </si>
  <si>
    <t>Helmiina Mäkelä</t>
  </si>
  <si>
    <t>Linda Puskala</t>
  </si>
  <si>
    <t>Venla Ronkainen</t>
  </si>
  <si>
    <t>Petri Ylilehto</t>
  </si>
  <si>
    <t>Juha Partanen</t>
  </si>
  <si>
    <t>Lotta Hartikainen</t>
  </si>
  <si>
    <t>Vilma Kivioja</t>
  </si>
  <si>
    <t>Aino Kuuri-Riutta</t>
  </si>
  <si>
    <t>Nea Lehti</t>
  </si>
  <si>
    <t>Alisa Mansikka</t>
  </si>
  <si>
    <t>Julia Pulakka</t>
  </si>
  <si>
    <t>Minttu Salmi</t>
  </si>
  <si>
    <t>Elli Airaksinen</t>
  </si>
  <si>
    <t>Emmi Julkunen</t>
  </si>
  <si>
    <t>Peppi Pasanen</t>
  </si>
  <si>
    <t>Nea Puurunen</t>
  </si>
  <si>
    <t>Siiri Väistölä</t>
  </si>
  <si>
    <t>Outi Venäläinen</t>
  </si>
  <si>
    <t>Roosa Vesalo</t>
  </si>
  <si>
    <t>Pekka Keinänen</t>
  </si>
  <si>
    <t>Pinja Arovainio</t>
  </si>
  <si>
    <t>Sanni Hirvasoja</t>
  </si>
  <si>
    <t>Pinja Huhtala</t>
  </si>
  <si>
    <t>Jenni Järvenpää</t>
  </si>
  <si>
    <t>Aamu Kankaanpää</t>
  </si>
  <si>
    <t>Riina Kuisma</t>
  </si>
  <si>
    <t>Camilla Lappalainen</t>
  </si>
  <si>
    <t>Jenny Niemelä</t>
  </si>
  <si>
    <t>Aada Skantz</t>
  </si>
  <si>
    <t>Fiona Soini</t>
  </si>
  <si>
    <t>Janika Vierimaa</t>
  </si>
  <si>
    <t>Maaninka</t>
  </si>
  <si>
    <t>Minttu Kurtti</t>
  </si>
  <si>
    <t>Julia Ritola</t>
  </si>
  <si>
    <t>Kaisa Soini</t>
  </si>
  <si>
    <t>Jyväskylän Kiri &amp; Kirittäret Juniorit</t>
  </si>
  <si>
    <t>Eurajoki</t>
  </si>
  <si>
    <t>Fera, LaJy</t>
  </si>
  <si>
    <t>LaJy</t>
  </si>
  <si>
    <t>valmis</t>
  </si>
  <si>
    <t>Pattijoen Urheilijat Juniorit</t>
  </si>
  <si>
    <t>LaVe</t>
  </si>
  <si>
    <t>AA</t>
  </si>
  <si>
    <t>Vaasan Mailan Juniorit</t>
  </si>
  <si>
    <t>välivuosi</t>
  </si>
  <si>
    <t>Elli Kangas</t>
  </si>
  <si>
    <t>Jalas</t>
  </si>
  <si>
    <t>Mikkeli</t>
  </si>
  <si>
    <t>Juvan Nuorisopesis</t>
  </si>
  <si>
    <t>PuPe</t>
  </si>
  <si>
    <t>PattU</t>
  </si>
  <si>
    <t>Pesäkarhut 3</t>
  </si>
  <si>
    <t>Jokioisten Koetus</t>
  </si>
  <si>
    <t>PöU</t>
  </si>
  <si>
    <t>Jokioinen</t>
  </si>
  <si>
    <t>SMJ 2</t>
  </si>
  <si>
    <t xml:space="preserve">SMJ </t>
  </si>
  <si>
    <t>SMJ 2, SMJ</t>
  </si>
  <si>
    <t>SMJ 3</t>
  </si>
  <si>
    <t>SiiPe</t>
  </si>
  <si>
    <t>Nelly Kiiski</t>
  </si>
  <si>
    <t>TyTe</t>
  </si>
  <si>
    <t>YK</t>
  </si>
  <si>
    <t>Kirittäret 2</t>
  </si>
  <si>
    <t>SiiPe 2</t>
  </si>
  <si>
    <t>YK, TU</t>
  </si>
  <si>
    <t>YK, OuHu</t>
  </si>
  <si>
    <t>YK, KeKi</t>
  </si>
  <si>
    <t>HP-K</t>
  </si>
  <si>
    <t>OuHu</t>
  </si>
  <si>
    <t>Eerika Peltoniemi</t>
  </si>
  <si>
    <t>Emilia Hannuksela</t>
  </si>
  <si>
    <t>Kira Koivisto</t>
  </si>
  <si>
    <t>Jenna Kallio</t>
  </si>
  <si>
    <t>Aliisa Yli-Kortesniemi</t>
  </si>
  <si>
    <t>Olli-Pekka Sinkkonen</t>
  </si>
  <si>
    <t>Isokyrö</t>
  </si>
  <si>
    <t>Lappajärve Veikot</t>
  </si>
  <si>
    <t>LaVe, Fera</t>
  </si>
  <si>
    <t>Vähäkyrö</t>
  </si>
  <si>
    <t>Mailattaret 2</t>
  </si>
  <si>
    <t>Vaasa</t>
  </si>
  <si>
    <t>30.6.1908  Ikaalisten kauppalan soittopaviljonki</t>
  </si>
  <si>
    <t xml:space="preserve">1827, 14.9.1991 Tarmo - ViU 12-4, finaali 2/2, NSU </t>
  </si>
  <si>
    <t>Urheilupuisto, Poppelikatu 8, 39500 Ikaalinen</t>
  </si>
  <si>
    <t>Aino Mononen</t>
  </si>
  <si>
    <t>Vilma Tuutti</t>
  </si>
  <si>
    <t>Nella Sarnikorpi</t>
  </si>
  <si>
    <t>Selina Saarenpää</t>
  </si>
  <si>
    <t>Inka Hovi</t>
  </si>
  <si>
    <t>Emmi Oleander</t>
  </si>
  <si>
    <t>Mira Heikkilä</t>
  </si>
  <si>
    <t>Ellinoora Ojala</t>
  </si>
  <si>
    <t>Anniina Salo</t>
  </si>
  <si>
    <t>Joanna Paukkunen</t>
  </si>
  <si>
    <t>Riina Kallio</t>
  </si>
  <si>
    <t>Ella Latva-Panula</t>
  </si>
  <si>
    <t>Aada Koistinen</t>
  </si>
  <si>
    <t>Piitu Saarinen</t>
  </si>
  <si>
    <t>Sini Satama</t>
  </si>
  <si>
    <t>Marko Hovi</t>
  </si>
  <si>
    <t>Kauhajoki</t>
  </si>
  <si>
    <t>HP</t>
  </si>
  <si>
    <t>HP, Tahko</t>
  </si>
  <si>
    <t>Haapajärven  Pesä-Kiilat</t>
  </si>
  <si>
    <t>Hattula</t>
  </si>
  <si>
    <t>Puhti</t>
  </si>
  <si>
    <t>HP 2</t>
  </si>
  <si>
    <t>Tarmo</t>
  </si>
  <si>
    <t>Oona Nuutila</t>
  </si>
  <si>
    <t>Lilli Mäkelä</t>
  </si>
  <si>
    <t>Amanda Frantsila</t>
  </si>
  <si>
    <t>Essi Kivelä</t>
  </si>
  <si>
    <t>Anna Ahonen</t>
  </si>
  <si>
    <t>Elina Viitanen</t>
  </si>
  <si>
    <t>Carita Varheenmaa</t>
  </si>
  <si>
    <t>Viivi Vahtolammi</t>
  </si>
  <si>
    <t>Aino Kaurahalme</t>
  </si>
  <si>
    <t>Pihla Alanen</t>
  </si>
  <si>
    <t>Jade Vartiamäki</t>
  </si>
  <si>
    <t>Sauli Tyvi</t>
  </si>
  <si>
    <t>Mara Mäkinen</t>
  </si>
  <si>
    <t>Aada Lehtimäki</t>
  </si>
  <si>
    <t>Jutta Jyrkkä</t>
  </si>
  <si>
    <t>Jana</t>
  </si>
  <si>
    <t>Kiira Yrjänen</t>
  </si>
  <si>
    <t>Venla Ahola</t>
  </si>
  <si>
    <t>Sanni Männistö</t>
  </si>
  <si>
    <t>Pinja Rouhiainen</t>
  </si>
  <si>
    <t>Moona Ronkainen</t>
  </si>
  <si>
    <t>Henriina Talvensaari</t>
  </si>
  <si>
    <t>Alisa Ylöstalo</t>
  </si>
  <si>
    <t>Sini Haataja</t>
  </si>
  <si>
    <t>Emma Mustonen</t>
  </si>
  <si>
    <t>Kimmo Yrjänen</t>
  </si>
  <si>
    <t>Roope Yrjänen</t>
  </si>
  <si>
    <t>Kirittäret</t>
  </si>
  <si>
    <t>Rebecca Penttinen</t>
  </si>
  <si>
    <t>Eevi Herrala</t>
  </si>
  <si>
    <t>Netta Veijalainen</t>
  </si>
  <si>
    <t>Senja Salmela</t>
  </si>
  <si>
    <t>Johanna Vikman</t>
  </si>
  <si>
    <t>Paavo Hämäläinen</t>
  </si>
  <si>
    <t>Anu Rajala</t>
  </si>
  <si>
    <t>Saara Kokko</t>
  </si>
  <si>
    <t>Nea Forsell</t>
  </si>
  <si>
    <t>Emma Syrjälä</t>
  </si>
  <si>
    <t>Hertta Härkönen</t>
  </si>
  <si>
    <t>Jesse Ritari</t>
  </si>
  <si>
    <t>Erica Rosendahl</t>
  </si>
  <si>
    <t>Alina Rosendahl</t>
  </si>
  <si>
    <t>Ida Mäenpää</t>
  </si>
  <si>
    <t>Nelli Mäenpää</t>
  </si>
  <si>
    <t>Tiia Jokela</t>
  </si>
  <si>
    <t>Mette Leskinen</t>
  </si>
  <si>
    <t>Joona Lankinen</t>
  </si>
  <si>
    <t>Lotta Loutti</t>
  </si>
  <si>
    <t>Lauri Uurasjärvi</t>
  </si>
  <si>
    <t>Ari Kivioja</t>
  </si>
  <si>
    <t>SMJ</t>
  </si>
  <si>
    <t>Jenna Rajala</t>
  </si>
  <si>
    <t>Sanni Hirvelä</t>
  </si>
  <si>
    <t>Olivia Kataja</t>
  </si>
  <si>
    <t>Vilma Marttala</t>
  </si>
  <si>
    <t>Aino Lähteenmäki</t>
  </si>
  <si>
    <t>Emmi Kivimäki</t>
  </si>
  <si>
    <t>Oona Varjanto</t>
  </si>
  <si>
    <t>Juulia Palomäki</t>
  </si>
  <si>
    <t>Kaisa Lähdemäki</t>
  </si>
  <si>
    <t>Mikael Sillanpää</t>
  </si>
  <si>
    <t>Karoliina Soppela</t>
  </si>
  <si>
    <t>Jonna Heinula</t>
  </si>
  <si>
    <t>Sara Kinnunen</t>
  </si>
  <si>
    <t>Iida Tossavainen</t>
  </si>
  <si>
    <t>Emma Kaarakka</t>
  </si>
  <si>
    <t>Silja Korpela</t>
  </si>
  <si>
    <t>Lotta Viittanen</t>
  </si>
  <si>
    <t>Elina Kärsämä</t>
  </si>
  <si>
    <t>Niko Tunninen</t>
  </si>
  <si>
    <t>Petra Nurro</t>
  </si>
  <si>
    <t>Eveliina Rantonen</t>
  </si>
  <si>
    <t>Iida Komulainen</t>
  </si>
  <si>
    <t>Veera Jacklin</t>
  </si>
  <si>
    <t>Oona Temonen</t>
  </si>
  <si>
    <t>Ria Ojala</t>
  </si>
  <si>
    <t>Toni Seppälä</t>
  </si>
  <si>
    <t>Jari Ylipahkala</t>
  </si>
  <si>
    <t>Pyhäjärven Pohti</t>
  </si>
  <si>
    <t>Pyhäjärvi</t>
  </si>
  <si>
    <t>KPK, Lipottaret, Pesä Ysit, Kirittäret, Tahko</t>
  </si>
  <si>
    <t>Lippo Juniorit</t>
  </si>
  <si>
    <t>OsVa</t>
  </si>
  <si>
    <t>KeKi, Lipottaret</t>
  </si>
  <si>
    <t>Keminmaa</t>
  </si>
  <si>
    <t>Lipottaret, KeKi</t>
  </si>
  <si>
    <t>Lipottaret, Tahko, KeKi</t>
  </si>
  <si>
    <t>562, 3.9.2023, Lippo Juniorit - PöU 1-2 (7-6, 1-10, 1-2), nousukarsinta, NYP</t>
  </si>
  <si>
    <t>Kuhmo</t>
  </si>
  <si>
    <t>Leppävirta</t>
  </si>
  <si>
    <t>Jemina Vainionpää</t>
  </si>
  <si>
    <t xml:space="preserve">Pesä Ysit </t>
  </si>
  <si>
    <t>Pesä Ysit, HP</t>
  </si>
  <si>
    <t>SiiPe, HP</t>
  </si>
  <si>
    <t>Köping</t>
  </si>
  <si>
    <t>Halsuan Toivo</t>
  </si>
  <si>
    <t>LMV</t>
  </si>
  <si>
    <t>Pirkat</t>
  </si>
  <si>
    <t>ViVe, PeTo, Kiri, Kirittäret</t>
  </si>
  <si>
    <t>Kirsti Kemppi</t>
  </si>
  <si>
    <t>PeTo-Jussit, Räpsä</t>
  </si>
  <si>
    <t>MyVe, JoMa</t>
  </si>
  <si>
    <t>Vehkalahti</t>
  </si>
  <si>
    <t>HP, Pesä Ysit, ViPa</t>
  </si>
  <si>
    <t>Jana, Roihu</t>
  </si>
  <si>
    <t>Kankaanpää</t>
  </si>
  <si>
    <t>Forssa</t>
  </si>
  <si>
    <t>Pöytyä</t>
  </si>
  <si>
    <t>Alahärmä</t>
  </si>
  <si>
    <t>Pietari</t>
  </si>
  <si>
    <t>Kuru</t>
  </si>
  <si>
    <t>Bogota</t>
  </si>
  <si>
    <t>Ylöjärvi</t>
  </si>
  <si>
    <t>Manse PP</t>
  </si>
  <si>
    <t>Loimaa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</si>
</sst>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"/>
    <numFmt numFmtId="165" formatCode="0.0\ %"/>
    <numFmt numFmtId="166" formatCode="[$-40B]General"/>
    <numFmt numFmtId="167" formatCode="0.0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u/>
      <sz val="12.3"/>
      <color indexed="12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0"/>
      <color theme="1"/>
      <name val="Arial1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sz val="11"/>
      <name val="Times New Roman"/>
      <family val="1"/>
      <charset val="1"/>
    </font>
    <font>
      <b/>
      <sz val="11"/>
      <name val="Arial"/>
      <family val="2"/>
    </font>
    <font>
      <sz val="10"/>
      <color rgb="FF000000"/>
      <name val="Arial1"/>
    </font>
    <font>
      <sz val="10"/>
      <color rgb="FF000000"/>
      <name val="Arial"/>
      <family val="2"/>
    </font>
    <font>
      <sz val="10"/>
      <name val="Arial"/>
      <family val="2"/>
    </font>
    <font>
      <sz val="10"/>
      <name val="Arial"/>
      <family val="2"/>
      <charset val="1"/>
    </font>
    <font>
      <u/>
      <sz val="12.3"/>
      <color indexed="12"/>
      <name val="Arial"/>
      <family val="2"/>
      <charset val="1"/>
    </font>
    <font>
      <sz val="10"/>
      <color indexed="8"/>
      <name val="Arial1"/>
      <charset val="1"/>
    </font>
    <font>
      <i/>
      <sz val="11"/>
      <color indexed="23"/>
      <name val="Calibri"/>
      <family val="2"/>
      <charset val="1"/>
    </font>
    <font>
      <u/>
      <sz val="10"/>
      <color theme="10"/>
      <name val="Arial"/>
      <family val="2"/>
    </font>
    <font>
      <sz val="10"/>
      <color indexed="8"/>
      <name val="Arial1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ahoma"/>
      <family val="2"/>
    </font>
    <font>
      <sz val="10"/>
      <name val="Tahoma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</font>
    <font>
      <b/>
      <sz val="10"/>
      <name val="Times New Roman"/>
      <family val="1"/>
    </font>
    <font>
      <sz val="11"/>
      <color theme="1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5F5F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6" fillId="0" borderId="0"/>
    <xf numFmtId="0" fontId="12" fillId="0" borderId="0"/>
    <xf numFmtId="166" fontId="13" fillId="0" borderId="0"/>
    <xf numFmtId="0" fontId="5" fillId="0" borderId="0"/>
    <xf numFmtId="0" fontId="8" fillId="0" borderId="0"/>
    <xf numFmtId="0" fontId="8" fillId="0" borderId="0"/>
    <xf numFmtId="0" fontId="15" fillId="0" borderId="0"/>
    <xf numFmtId="0" fontId="8" fillId="0" borderId="0"/>
    <xf numFmtId="166" fontId="13" fillId="0" borderId="0"/>
    <xf numFmtId="0" fontId="18" fillId="0" borderId="0"/>
    <xf numFmtId="0" fontId="8" fillId="0" borderId="0"/>
    <xf numFmtId="0" fontId="19" fillId="0" borderId="0"/>
    <xf numFmtId="0" fontId="20" fillId="0" borderId="0"/>
    <xf numFmtId="0" fontId="24" fillId="0" borderId="0" applyNumberFormat="0" applyFill="0" applyBorder="0" applyProtection="0"/>
    <xf numFmtId="0" fontId="23" fillId="0" borderId="0"/>
    <xf numFmtId="0" fontId="22" fillId="0" borderId="0" applyNumberFormat="0" applyFill="0" applyBorder="0" applyProtection="0"/>
    <xf numFmtId="0" fontId="15" fillId="0" borderId="0"/>
    <xf numFmtId="0" fontId="21" fillId="0" borderId="0"/>
    <xf numFmtId="0" fontId="1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 applyNumberFormat="0" applyFill="0" applyBorder="0" applyAlignment="0" applyProtection="0"/>
    <xf numFmtId="0" fontId="4" fillId="0" borderId="0"/>
    <xf numFmtId="0" fontId="8" fillId="0" borderId="0"/>
    <xf numFmtId="0" fontId="4" fillId="0" borderId="0"/>
    <xf numFmtId="0" fontId="8" fillId="0" borderId="0"/>
    <xf numFmtId="0" fontId="3" fillId="0" borderId="0"/>
    <xf numFmtId="166" fontId="26" fillId="0" borderId="0"/>
    <xf numFmtId="0" fontId="3" fillId="0" borderId="0"/>
    <xf numFmtId="166" fontId="26" fillId="0" borderId="0"/>
    <xf numFmtId="0" fontId="26" fillId="0" borderId="0"/>
    <xf numFmtId="0" fontId="27" fillId="0" borderId="0"/>
    <xf numFmtId="0" fontId="26" fillId="0" borderId="0"/>
    <xf numFmtId="0" fontId="2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0" fontId="8" fillId="0" borderId="0"/>
    <xf numFmtId="9" fontId="35" fillId="0" borderId="0" applyFont="0" applyFill="0" applyBorder="0" applyAlignment="0" applyProtection="0"/>
  </cellStyleXfs>
  <cellXfs count="163">
    <xf numFmtId="0" fontId="0" fillId="0" borderId="0" xfId="0"/>
    <xf numFmtId="0" fontId="7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11" fillId="0" borderId="0" xfId="0" applyFont="1"/>
    <xf numFmtId="0" fontId="11" fillId="0" borderId="0" xfId="1" applyFont="1" applyFill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1" fillId="6" borderId="5" xfId="0" applyFont="1" applyFill="1" applyBorder="1" applyAlignment="1">
      <alignment horizontal="center"/>
    </xf>
    <xf numFmtId="0" fontId="17" fillId="0" borderId="0" xfId="0" applyFont="1"/>
    <xf numFmtId="0" fontId="10" fillId="8" borderId="8" xfId="0" applyFont="1" applyFill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1" xfId="0" applyFont="1" applyBorder="1"/>
    <xf numFmtId="0" fontId="11" fillId="0" borderId="0" xfId="0" applyFont="1" applyAlignment="1">
      <alignment horizontal="center"/>
    </xf>
    <xf numFmtId="0" fontId="10" fillId="0" borderId="10" xfId="0" applyFont="1" applyBorder="1"/>
    <xf numFmtId="0" fontId="10" fillId="0" borderId="0" xfId="0" applyFont="1" applyAlignment="1">
      <alignment horizontal="left" vertical="center"/>
    </xf>
    <xf numFmtId="166" fontId="11" fillId="0" borderId="0" xfId="5" applyFont="1"/>
    <xf numFmtId="0" fontId="10" fillId="0" borderId="4" xfId="0" applyFont="1" applyBorder="1"/>
    <xf numFmtId="0" fontId="11" fillId="6" borderId="6" xfId="0" applyFont="1" applyFill="1" applyBorder="1" applyAlignment="1">
      <alignment horizontal="center"/>
    </xf>
    <xf numFmtId="14" fontId="10" fillId="0" borderId="0" xfId="0" applyNumberFormat="1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29" fillId="0" borderId="0" xfId="0" applyFont="1"/>
    <xf numFmtId="0" fontId="10" fillId="0" borderId="2" xfId="0" applyFont="1" applyBorder="1"/>
    <xf numFmtId="0" fontId="10" fillId="0" borderId="3" xfId="0" applyFont="1" applyBorder="1"/>
    <xf numFmtId="0" fontId="8" fillId="0" borderId="0" xfId="0" applyFont="1"/>
    <xf numFmtId="0" fontId="7" fillId="0" borderId="0" xfId="0" applyFont="1" applyAlignment="1">
      <alignment horizontal="left"/>
    </xf>
    <xf numFmtId="0" fontId="30" fillId="0" borderId="0" xfId="0" applyFont="1"/>
    <xf numFmtId="0" fontId="16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166" fontId="16" fillId="0" borderId="10" xfId="5" applyFont="1" applyBorder="1"/>
    <xf numFmtId="0" fontId="10" fillId="0" borderId="11" xfId="0" applyFont="1" applyBorder="1"/>
    <xf numFmtId="166" fontId="16" fillId="0" borderId="4" xfId="5" applyFont="1" applyBorder="1"/>
    <xf numFmtId="0" fontId="11" fillId="0" borderId="5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/>
    <xf numFmtId="0" fontId="10" fillId="0" borderId="2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164" fontId="10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0" fontId="10" fillId="0" borderId="11" xfId="0" applyFont="1" applyBorder="1" applyAlignment="1">
      <alignment horizontal="left"/>
    </xf>
    <xf numFmtId="166" fontId="11" fillId="0" borderId="10" xfId="5" applyFont="1" applyBorder="1"/>
    <xf numFmtId="164" fontId="11" fillId="0" borderId="0" xfId="5" applyNumberFormat="1" applyFont="1" applyAlignment="1">
      <alignment horizontal="center"/>
    </xf>
    <xf numFmtId="165" fontId="11" fillId="0" borderId="0" xfId="52" applyNumberFormat="1" applyFont="1" applyFill="1" applyBorder="1" applyAlignment="1">
      <alignment horizontal="center"/>
    </xf>
    <xf numFmtId="165" fontId="11" fillId="0" borderId="0" xfId="52" applyNumberFormat="1" applyFont="1" applyFill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11" fillId="0" borderId="10" xfId="0" applyFont="1" applyBorder="1"/>
    <xf numFmtId="164" fontId="11" fillId="0" borderId="0" xfId="0" applyNumberFormat="1" applyFont="1" applyAlignment="1">
      <alignment horizontal="center"/>
    </xf>
    <xf numFmtId="165" fontId="11" fillId="0" borderId="11" xfId="0" applyNumberFormat="1" applyFont="1" applyBorder="1" applyAlignment="1">
      <alignment horizontal="left"/>
    </xf>
    <xf numFmtId="0" fontId="10" fillId="9" borderId="9" xfId="0" applyFont="1" applyFill="1" applyBorder="1" applyAlignment="1">
      <alignment horizontal="left"/>
    </xf>
    <xf numFmtId="0" fontId="11" fillId="9" borderId="7" xfId="0" applyFont="1" applyFill="1" applyBorder="1" applyAlignment="1">
      <alignment horizontal="left"/>
    </xf>
    <xf numFmtId="0" fontId="10" fillId="0" borderId="9" xfId="0" applyFont="1" applyBorder="1"/>
    <xf numFmtId="0" fontId="10" fillId="0" borderId="7" xfId="0" applyFont="1" applyBorder="1"/>
    <xf numFmtId="0" fontId="10" fillId="0" borderId="8" xfId="0" applyFont="1" applyBorder="1"/>
    <xf numFmtId="0" fontId="16" fillId="0" borderId="0" xfId="6" applyFont="1"/>
    <xf numFmtId="164" fontId="11" fillId="0" borderId="0" xfId="0" applyNumberFormat="1" applyFont="1" applyAlignment="1">
      <alignment horizontal="center" vertical="center"/>
    </xf>
    <xf numFmtId="0" fontId="11" fillId="0" borderId="10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11" fillId="0" borderId="4" xfId="0" applyFont="1" applyBorder="1"/>
    <xf numFmtId="164" fontId="11" fillId="0" borderId="5" xfId="0" applyNumberFormat="1" applyFont="1" applyBorder="1" applyAlignment="1">
      <alignment horizontal="center"/>
    </xf>
    <xf numFmtId="0" fontId="11" fillId="0" borderId="5" xfId="0" applyFont="1" applyBorder="1"/>
    <xf numFmtId="0" fontId="11" fillId="0" borderId="5" xfId="0" applyFont="1" applyBorder="1" applyAlignment="1">
      <alignment horizontal="center"/>
    </xf>
    <xf numFmtId="165" fontId="11" fillId="0" borderId="5" xfId="52" applyNumberFormat="1" applyFont="1" applyFill="1" applyBorder="1" applyAlignment="1">
      <alignment horizontal="center"/>
    </xf>
    <xf numFmtId="165" fontId="11" fillId="0" borderId="5" xfId="52" applyNumberFormat="1" applyFont="1" applyFill="1" applyBorder="1" applyAlignment="1">
      <alignment horizontal="left"/>
    </xf>
    <xf numFmtId="0" fontId="11" fillId="0" borderId="6" xfId="0" applyFont="1" applyBorder="1" applyAlignment="1">
      <alignment horizontal="left"/>
    </xf>
    <xf numFmtId="165" fontId="11" fillId="0" borderId="2" xfId="52" applyNumberFormat="1" applyFont="1" applyFill="1" applyBorder="1" applyAlignment="1">
      <alignment horizontal="center"/>
    </xf>
    <xf numFmtId="167" fontId="11" fillId="0" borderId="2" xfId="0" applyNumberFormat="1" applyFont="1" applyBorder="1" applyAlignment="1">
      <alignment horizontal="center"/>
    </xf>
    <xf numFmtId="165" fontId="11" fillId="0" borderId="2" xfId="0" applyNumberFormat="1" applyFont="1" applyBorder="1" applyAlignment="1">
      <alignment horizontal="right"/>
    </xf>
    <xf numFmtId="14" fontId="10" fillId="0" borderId="0" xfId="0" applyNumberFormat="1" applyFont="1" applyAlignment="1">
      <alignment horizontal="center"/>
    </xf>
    <xf numFmtId="167" fontId="11" fillId="0" borderId="0" xfId="0" applyNumberFormat="1" applyFont="1" applyAlignment="1">
      <alignment horizontal="center"/>
    </xf>
    <xf numFmtId="0" fontId="11" fillId="0" borderId="1" xfId="0" applyFont="1" applyBorder="1" applyAlignment="1">
      <alignment horizontal="left"/>
    </xf>
    <xf numFmtId="0" fontId="11" fillId="0" borderId="5" xfId="1" applyFont="1" applyFill="1" applyBorder="1" applyAlignment="1" applyProtection="1">
      <alignment horizontal="left"/>
    </xf>
    <xf numFmtId="0" fontId="3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14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7" fontId="11" fillId="0" borderId="5" xfId="0" applyNumberFormat="1" applyFont="1" applyBorder="1" applyAlignment="1">
      <alignment horizontal="center"/>
    </xf>
    <xf numFmtId="0" fontId="14" fillId="0" borderId="0" xfId="0" applyFont="1" applyAlignment="1">
      <alignment horizontal="left" vertical="center"/>
    </xf>
    <xf numFmtId="0" fontId="10" fillId="5" borderId="9" xfId="0" applyFont="1" applyFill="1" applyBorder="1" applyAlignment="1">
      <alignment horizontal="left"/>
    </xf>
    <xf numFmtId="0" fontId="11" fillId="5" borderId="7" xfId="0" applyFont="1" applyFill="1" applyBorder="1" applyAlignment="1">
      <alignment horizontal="left"/>
    </xf>
    <xf numFmtId="0" fontId="11" fillId="5" borderId="8" xfId="0" applyFont="1" applyFill="1" applyBorder="1" applyAlignment="1">
      <alignment horizontal="left"/>
    </xf>
    <xf numFmtId="0" fontId="7" fillId="0" borderId="0" xfId="0" applyFont="1" applyAlignment="1">
      <alignment horizontal="left" vertical="center"/>
    </xf>
    <xf numFmtId="165" fontId="11" fillId="0" borderId="0" xfId="52" applyNumberFormat="1" applyFont="1" applyFill="1" applyBorder="1" applyAlignment="1"/>
    <xf numFmtId="165" fontId="11" fillId="0" borderId="5" xfId="52" applyNumberFormat="1" applyFont="1" applyFill="1" applyBorder="1" applyAlignment="1"/>
    <xf numFmtId="0" fontId="10" fillId="8" borderId="9" xfId="0" applyFont="1" applyFill="1" applyBorder="1"/>
    <xf numFmtId="0" fontId="10" fillId="6" borderId="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0" fontId="10" fillId="0" borderId="12" xfId="0" applyFont="1" applyBorder="1" applyAlignment="1">
      <alignment horizontal="left"/>
    </xf>
    <xf numFmtId="165" fontId="11" fillId="0" borderId="0" xfId="0" applyNumberFormat="1" applyFont="1" applyAlignment="1">
      <alignment horizontal="left"/>
    </xf>
    <xf numFmtId="165" fontId="11" fillId="0" borderId="2" xfId="52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10" fillId="6" borderId="5" xfId="0" applyNumberFormat="1" applyFont="1" applyFill="1" applyBorder="1" applyAlignment="1">
      <alignment horizontal="center"/>
    </xf>
    <xf numFmtId="49" fontId="10" fillId="6" borderId="6" xfId="0" applyNumberFormat="1" applyFont="1" applyFill="1" applyBorder="1" applyAlignment="1">
      <alignment horizontal="center"/>
    </xf>
    <xf numFmtId="0" fontId="31" fillId="10" borderId="0" xfId="0" applyFont="1" applyFill="1" applyAlignment="1">
      <alignment vertical="center"/>
    </xf>
    <xf numFmtId="0" fontId="32" fillId="10" borderId="0" xfId="0" applyFont="1" applyFill="1" applyAlignment="1">
      <alignment vertical="center"/>
    </xf>
    <xf numFmtId="3" fontId="32" fillId="10" borderId="0" xfId="0" applyNumberFormat="1" applyFont="1" applyFill="1" applyAlignment="1">
      <alignment vertical="center"/>
    </xf>
    <xf numFmtId="49" fontId="34" fillId="0" borderId="0" xfId="0" applyNumberFormat="1" applyFont="1" applyAlignment="1">
      <alignment horizontal="center"/>
    </xf>
    <xf numFmtId="0" fontId="33" fillId="0" borderId="0" xfId="0" applyFont="1" applyAlignment="1">
      <alignment horizontal="center"/>
    </xf>
    <xf numFmtId="0" fontId="10" fillId="0" borderId="13" xfId="0" applyFont="1" applyBorder="1"/>
    <xf numFmtId="0" fontId="10" fillId="2" borderId="13" xfId="0" applyFont="1" applyFill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5" borderId="13" xfId="0" applyFont="1" applyFill="1" applyBorder="1" applyAlignment="1">
      <alignment horizontal="center"/>
    </xf>
    <xf numFmtId="0" fontId="10" fillId="9" borderId="13" xfId="0" applyFont="1" applyFill="1" applyBorder="1" applyAlignment="1">
      <alignment horizontal="center"/>
    </xf>
    <xf numFmtId="49" fontId="10" fillId="0" borderId="13" xfId="0" applyNumberFormat="1" applyFont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7" borderId="13" xfId="0" applyFont="1" applyFill="1" applyBorder="1" applyAlignment="1">
      <alignment horizontal="center"/>
    </xf>
    <xf numFmtId="49" fontId="10" fillId="5" borderId="13" xfId="0" applyNumberFormat="1" applyFont="1" applyFill="1" applyBorder="1" applyAlignment="1">
      <alignment horizontal="center"/>
    </xf>
    <xf numFmtId="1" fontId="36" fillId="5" borderId="13" xfId="0" applyNumberFormat="1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0" fontId="10" fillId="6" borderId="9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49" fontId="10" fillId="6" borderId="13" xfId="0" applyNumberFormat="1" applyFont="1" applyFill="1" applyBorder="1" applyAlignment="1">
      <alignment horizontal="center"/>
    </xf>
    <xf numFmtId="0" fontId="16" fillId="0" borderId="10" xfId="17" applyFont="1" applyBorder="1"/>
    <xf numFmtId="0" fontId="37" fillId="0" borderId="0" xfId="0" applyFont="1"/>
    <xf numFmtId="0" fontId="16" fillId="0" borderId="4" xfId="17" applyFont="1" applyBorder="1"/>
    <xf numFmtId="0" fontId="11" fillId="0" borderId="5" xfId="13" applyFont="1" applyBorder="1"/>
    <xf numFmtId="0" fontId="16" fillId="0" borderId="0" xfId="8" applyFont="1"/>
    <xf numFmtId="0" fontId="11" fillId="0" borderId="10" xfId="17" applyFont="1" applyBorder="1"/>
    <xf numFmtId="164" fontId="11" fillId="0" borderId="0" xfId="17" applyNumberFormat="1" applyFont="1" applyAlignment="1">
      <alignment horizontal="center"/>
    </xf>
    <xf numFmtId="0" fontId="10" fillId="8" borderId="0" xfId="0" applyFont="1" applyFill="1" applyAlignment="1">
      <alignment horizontal="center"/>
    </xf>
    <xf numFmtId="0" fontId="10" fillId="8" borderId="13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33" fillId="0" borderId="0" xfId="0" applyFont="1" applyAlignment="1">
      <alignment horizontal="left"/>
    </xf>
    <xf numFmtId="0" fontId="39" fillId="0" borderId="0" xfId="0" applyFont="1"/>
    <xf numFmtId="1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/>
    <xf numFmtId="0" fontId="10" fillId="8" borderId="0" xfId="0" applyFont="1" applyFill="1"/>
    <xf numFmtId="0" fontId="10" fillId="8" borderId="0" xfId="0" applyFont="1" applyFill="1" applyAlignment="1">
      <alignment horizontal="left" vertical="center"/>
    </xf>
    <xf numFmtId="0" fontId="37" fillId="0" borderId="10" xfId="0" applyFont="1" applyBorder="1"/>
    <xf numFmtId="0" fontId="33" fillId="0" borderId="0" xfId="0" applyFont="1"/>
    <xf numFmtId="0" fontId="10" fillId="8" borderId="0" xfId="0" applyFont="1" applyFill="1" applyAlignment="1">
      <alignment horizontal="center" vertical="center"/>
    </xf>
    <xf numFmtId="0" fontId="38" fillId="0" borderId="0" xfId="0" applyFont="1" applyAlignment="1">
      <alignment horizontal="center"/>
    </xf>
    <xf numFmtId="165" fontId="11" fillId="0" borderId="0" xfId="54" applyNumberFormat="1" applyFont="1" applyAlignment="1">
      <alignment horizontal="center"/>
    </xf>
    <xf numFmtId="165" fontId="10" fillId="8" borderId="0" xfId="54" applyNumberFormat="1" applyFont="1" applyFill="1" applyAlignment="1">
      <alignment horizontal="center"/>
    </xf>
    <xf numFmtId="1" fontId="11" fillId="0" borderId="0" xfId="0" applyNumberFormat="1" applyFont="1" applyAlignment="1">
      <alignment horizontal="center"/>
    </xf>
    <xf numFmtId="1" fontId="10" fillId="8" borderId="0" xfId="0" applyNumberFormat="1" applyFont="1" applyFill="1" applyAlignment="1">
      <alignment horizontal="center"/>
    </xf>
    <xf numFmtId="49" fontId="10" fillId="0" borderId="0" xfId="0" quotePrefix="1" applyNumberFormat="1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49" fontId="10" fillId="0" borderId="11" xfId="0" applyNumberFormat="1" applyFont="1" applyBorder="1"/>
    <xf numFmtId="165" fontId="11" fillId="0" borderId="11" xfId="52" applyNumberFormat="1" applyFont="1" applyFill="1" applyBorder="1" applyAlignment="1">
      <alignment horizontal="left"/>
    </xf>
    <xf numFmtId="165" fontId="11" fillId="0" borderId="6" xfId="52" applyNumberFormat="1" applyFont="1" applyFill="1" applyBorder="1" applyAlignment="1">
      <alignment horizontal="left"/>
    </xf>
    <xf numFmtId="165" fontId="11" fillId="0" borderId="3" xfId="0" applyNumberFormat="1" applyFont="1" applyBorder="1" applyAlignment="1">
      <alignment horizontal="right"/>
    </xf>
    <xf numFmtId="14" fontId="10" fillId="0" borderId="11" xfId="0" applyNumberFormat="1" applyFont="1" applyBorder="1" applyAlignment="1">
      <alignment horizontal="left"/>
    </xf>
    <xf numFmtId="167" fontId="11" fillId="0" borderId="11" xfId="0" applyNumberFormat="1" applyFont="1" applyBorder="1" applyAlignment="1">
      <alignment horizontal="left"/>
    </xf>
    <xf numFmtId="166" fontId="11" fillId="0" borderId="4" xfId="5" applyFont="1" applyBorder="1"/>
    <xf numFmtId="164" fontId="11" fillId="0" borderId="5" xfId="5" applyNumberFormat="1" applyFont="1" applyBorder="1" applyAlignment="1">
      <alignment horizontal="center"/>
    </xf>
    <xf numFmtId="167" fontId="11" fillId="0" borderId="0" xfId="0" applyNumberFormat="1" applyFont="1" applyAlignment="1">
      <alignment horizontal="left"/>
    </xf>
    <xf numFmtId="165" fontId="11" fillId="0" borderId="0" xfId="0" applyNumberFormat="1" applyFont="1" applyAlignment="1">
      <alignment horizontal="center"/>
    </xf>
    <xf numFmtId="14" fontId="11" fillId="0" borderId="0" xfId="0" applyNumberFormat="1" applyFont="1" applyAlignment="1">
      <alignment horizontal="left"/>
    </xf>
    <xf numFmtId="0" fontId="11" fillId="0" borderId="11" xfId="0" applyFont="1" applyBorder="1"/>
    <xf numFmtId="164" fontId="11" fillId="0" borderId="0" xfId="7" applyNumberFormat="1" applyFont="1" applyAlignment="1">
      <alignment horizontal="center"/>
    </xf>
    <xf numFmtId="165" fontId="11" fillId="0" borderId="0" xfId="54" applyNumberFormat="1" applyFont="1" applyBorder="1" applyAlignment="1">
      <alignment horizontal="center"/>
    </xf>
    <xf numFmtId="165" fontId="11" fillId="0" borderId="5" xfId="54" applyNumberFormat="1" applyFont="1" applyBorder="1" applyAlignment="1">
      <alignment horizontal="center"/>
    </xf>
  </cellXfs>
  <cellStyles count="55">
    <cellStyle name="Excel Built-in Explanatory Text" xfId="16" xr:uid="{00000000-0005-0000-0000-000000000000}"/>
    <cellStyle name="Excel Built-in Normal" xfId="5" xr:uid="{00000000-0005-0000-0000-000001000000}"/>
    <cellStyle name="Excel Built-in Normal 1" xfId="12" xr:uid="{00000000-0005-0000-0000-000002000000}"/>
    <cellStyle name="Excel Built-in Normal 1 2" xfId="36" xr:uid="{00000000-0005-0000-0000-000003000000}"/>
    <cellStyle name="Excel Built-in Normal 2" xfId="9" xr:uid="{00000000-0005-0000-0000-000004000000}"/>
    <cellStyle name="Excel Built-in Normal 3" xfId="17" xr:uid="{00000000-0005-0000-0000-000005000000}"/>
    <cellStyle name="Excel Built-in Normal 3 2" xfId="38" xr:uid="{00000000-0005-0000-0000-000006000000}"/>
    <cellStyle name="Excel Built-in Normal 4" xfId="11" xr:uid="{00000000-0005-0000-0000-000007000000}"/>
    <cellStyle name="Excel Built-in Normal 4 2" xfId="35" xr:uid="{00000000-0005-0000-0000-000008000000}"/>
    <cellStyle name="Excel Built-in Normal 5" xfId="33" xr:uid="{00000000-0005-0000-0000-000009000000}"/>
    <cellStyle name="Hyperlink" xfId="27" xr:uid="{00000000-0005-0000-0000-00000A000000}"/>
    <cellStyle name="Hyperlink 2" xfId="39" xr:uid="{00000000-0005-0000-0000-00000B000000}"/>
    <cellStyle name="Hyperlinkki" xfId="1" builtinId="8"/>
    <cellStyle name="Hyperlinkki 2" xfId="18" xr:uid="{00000000-0005-0000-0000-00000D000000}"/>
    <cellStyle name="Normaali" xfId="0" builtinId="0"/>
    <cellStyle name="Normaali 2" xfId="6" xr:uid="{00000000-0005-0000-0000-00000F000000}"/>
    <cellStyle name="Normaali 2 2" xfId="19" xr:uid="{00000000-0005-0000-0000-000010000000}"/>
    <cellStyle name="Normaali 2 3" xfId="8" xr:uid="{00000000-0005-0000-0000-000011000000}"/>
    <cellStyle name="Normaali 2 3 2" xfId="20" xr:uid="{00000000-0005-0000-0000-000012000000}"/>
    <cellStyle name="Normaali 2 4" xfId="30" xr:uid="{00000000-0005-0000-0000-000013000000}"/>
    <cellStyle name="Normaali 2 4 2" xfId="43" xr:uid="{00000000-0005-0000-0000-000014000000}"/>
    <cellStyle name="Normaali 2 4 3" xfId="49" xr:uid="{00000000-0005-0000-0000-000015000000}"/>
    <cellStyle name="Normaali 2 5" xfId="34" xr:uid="{00000000-0005-0000-0000-000016000000}"/>
    <cellStyle name="Normaali 2 5 2" xfId="45" xr:uid="{00000000-0005-0000-0000-000017000000}"/>
    <cellStyle name="Normaali 2 5 3" xfId="51" xr:uid="{00000000-0005-0000-0000-000018000000}"/>
    <cellStyle name="Normaali 2 6" xfId="41" xr:uid="{00000000-0005-0000-0000-000019000000}"/>
    <cellStyle name="Normaali 2 7" xfId="47" xr:uid="{00000000-0005-0000-0000-00001A000000}"/>
    <cellStyle name="Normaali 3" xfId="3" xr:uid="{00000000-0005-0000-0000-00001B000000}"/>
    <cellStyle name="Normaali 3 2" xfId="21" xr:uid="{00000000-0005-0000-0000-00001C000000}"/>
    <cellStyle name="Normaali 3 3" xfId="28" xr:uid="{00000000-0005-0000-0000-00001D000000}"/>
    <cellStyle name="Normaali 3 3 2" xfId="42" xr:uid="{00000000-0005-0000-0000-00001E000000}"/>
    <cellStyle name="Normaali 3 3 3" xfId="48" xr:uid="{00000000-0005-0000-0000-00001F000000}"/>
    <cellStyle name="Normaali 3 4" xfId="32" xr:uid="{00000000-0005-0000-0000-000020000000}"/>
    <cellStyle name="Normaali 3 4 2" xfId="44" xr:uid="{00000000-0005-0000-0000-000021000000}"/>
    <cellStyle name="Normaali 3 4 3" xfId="50" xr:uid="{00000000-0005-0000-0000-000022000000}"/>
    <cellStyle name="Normaali 3 5" xfId="40" xr:uid="{00000000-0005-0000-0000-000023000000}"/>
    <cellStyle name="Normaali 3 6" xfId="46" xr:uid="{00000000-0005-0000-0000-000024000000}"/>
    <cellStyle name="Normaali 4" xfId="7" xr:uid="{00000000-0005-0000-0000-000025000000}"/>
    <cellStyle name="Normaali 4 2" xfId="22" xr:uid="{00000000-0005-0000-0000-000026000000}"/>
    <cellStyle name="Normaali 5" xfId="14" xr:uid="{00000000-0005-0000-0000-000027000000}"/>
    <cellStyle name="Normaali 5 2" xfId="37" xr:uid="{00000000-0005-0000-0000-000028000000}"/>
    <cellStyle name="Normaali 6" xfId="15" xr:uid="{00000000-0005-0000-0000-000029000000}"/>
    <cellStyle name="Normaali 6 2" xfId="31" xr:uid="{00000000-0005-0000-0000-00002A000000}"/>
    <cellStyle name="Normaali 7" xfId="13" xr:uid="{00000000-0005-0000-0000-00002B000000}"/>
    <cellStyle name="Normaali 7 2" xfId="23" xr:uid="{00000000-0005-0000-0000-00002C000000}"/>
    <cellStyle name="Normaali 8" xfId="53" xr:uid="{00000000-0005-0000-0000-00002D000000}"/>
    <cellStyle name="Normal 2" xfId="2" xr:uid="{00000000-0005-0000-0000-00002E000000}"/>
    <cellStyle name="Normal 2 2" xfId="24" xr:uid="{00000000-0005-0000-0000-00002F000000}"/>
    <cellStyle name="Normal 3" xfId="4" xr:uid="{00000000-0005-0000-0000-000030000000}"/>
    <cellStyle name="Normal 3 2" xfId="25" xr:uid="{00000000-0005-0000-0000-000031000000}"/>
    <cellStyle name="Normal 3 3" xfId="29" xr:uid="{00000000-0005-0000-0000-000032000000}"/>
    <cellStyle name="Normal 4" xfId="10" xr:uid="{00000000-0005-0000-0000-000033000000}"/>
    <cellStyle name="Normal 4 2" xfId="26" xr:uid="{00000000-0005-0000-0000-000034000000}"/>
    <cellStyle name="Prosenttia" xfId="54" builtinId="5"/>
    <cellStyle name="Prosenttia 2" xfId="52" xr:uid="{00000000-0005-0000-0000-000035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0</xdr:col>
      <xdr:colOff>304800</xdr:colOff>
      <xdr:row>35</xdr:row>
      <xdr:rowOff>115479</xdr:rowOff>
    </xdr:to>
    <xdr:sp macro="" textlink="">
      <xdr:nvSpPr>
        <xdr:cNvPr id="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3A2C027-BDE0-41F5-A629-1FCFFCE375B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5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7CB069F-8F32-4AEE-94BA-82AD8AF3C74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9EDD4E3-E078-4B9C-87CE-4DD046E6A50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1E3ABE1-3488-497F-80F0-BD7DBDB021C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700D28F-716E-4863-B636-BA20D17FFB2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2CBB00B-6CE9-4D19-A11F-81D44B88F3E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8D78532-67A7-4407-B60F-62F9E10823BE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B31360F-B99C-4716-A3F5-FFE18C0A903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ED48831-D45F-424F-9415-1C08BECC49D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CED96EB-DF73-465F-B4D9-A44DCFBE273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3E3D5CF-21F6-413C-90F7-0C7CD925035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EDEC5A3-C16C-44ED-B5B0-85BE611DAED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6CB12E3-816A-44F9-90D7-C5F7D856404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6431A21-254E-443A-A66E-A1C9FF345D2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6083B8F-526B-4CEA-A6D7-81CC8B10C22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AB336E3-F85F-4F51-B81A-7F1F7A230AB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E02EB52-7523-4551-9A20-24AA8595DE0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0219A33-1508-4215-9AFA-E58A4852B9E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2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AF1AC15-5465-494C-83A5-5538BD0E5FC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2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F44EEE0-E371-4B86-9F3E-722BA6C4076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2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F02A8F0-6BD5-454E-9210-B0F6889EB69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2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4A38186-82CA-4846-BFD5-3B6339C18DF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2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740BA05-5E81-4C41-A4D9-F40C23898B6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2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450E000-194F-4C06-B563-EF7FFF207BF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2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B317DC2-3A93-4463-B020-25650F8016B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2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FC7A061-21A4-46B5-8ADF-2CCE7400D1C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2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492D0BF-0846-4AA2-8F22-52A5F022E9B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2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D231D4E-631B-49D6-B4D9-33CFD7C8DFC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3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F94DEDF-0F72-4F8B-BBCE-BC7303DDE3E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3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4D6D55C-2321-43A0-BA59-C49B2B904AC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3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E65DA9A-4774-4D29-A263-3C0E6F44C63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3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6745E4F-49B7-44FF-A6B7-98800201DB9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3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B55E95F-13E1-47ED-9632-02E3CEB8948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3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CB3A3C0-6991-402D-8720-7E42191A8F9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3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E8ED8A5-7AF4-4B9E-A597-1BDCD639B7A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3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A11237F-B188-4F17-AE24-9CA8CF8EC1E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3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1A543BF-B23A-48A5-A997-F3BDADDC15A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3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3791576-E0BB-4DD9-9957-9DEEC3C5B8E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4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D9A5D98-469B-4F9B-8384-4D0292805B6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4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8CEA52D-9428-44F0-8C2B-D9A53D1D2DA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4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ADF2165-E118-4DCB-8E6D-55C4AFD6B50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4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AF60378-E256-4FBD-A78D-BC82C33706D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4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225A4EF-A6AD-4F57-BB56-186A2EB070B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4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17A5920-FDB2-48C7-84FB-4F27231736B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4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280C82B-BC2B-45B4-9264-8DE93D31293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4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8CBBED4-4A1F-47EE-B64C-5A25561FDB1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4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527B5B1-5574-4315-B999-E7F678646E7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4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3FBDD0F-BE07-4B1B-A488-90A89895970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5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6507777-1108-44C8-90E4-5BE7DE0495C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5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707FD12-F919-4024-ABE4-CB59F502AE7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5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1769014-E375-41DF-8B02-FA189566F00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5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34C6363-DCD0-4CF5-BB1D-919FF2EFFE0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5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18ACEA6-BC91-45C5-B7C7-E8C5C0079BA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5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BB67F43-EDA0-4953-8B45-DD2D1F4CA4F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5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EB569B2-DA91-4228-950D-03197673707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5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5772A2D-6C29-450A-8D46-479ED4BBC9C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5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10C3775-2B1A-498C-936A-E83DB7275AC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5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F19D50F-CEA1-4262-A891-C781DCA59D7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6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9396908-8F5E-4D04-AC9C-17540309990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6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A419AF6-FE92-45D9-AADF-4273DD6D6C8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6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DBDBF54-4C8D-40DA-8A24-561FC3DC7A0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6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344CEE6-AF72-40BE-BA30-115FD6B836C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6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5C6F0B8-E3E5-477E-929F-9D3195F44D0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6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ABA38EA-1A2A-4383-9686-33F944B378B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6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FDF3D3E-0F55-478B-B83B-9FFAAEBFA87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6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A9420E2-D355-4E49-9C49-6C98575D670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6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E25DC53-3B0F-4A70-8E21-A1B61D3E05B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6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CAF6D22-6347-48E6-B9D1-902C9B8893F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7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0D56AB6-957E-4AAC-8E0D-FD6E735DBCF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7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8D43361-6563-48F5-B87E-7E65AF91BE0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7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0AE9299-9FA7-42D9-ADB5-37D6A298DFA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7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B7ABA4C-731E-450C-8438-7D7C42C01CFE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7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979B783-104B-4CC4-8D60-AD2174BF5D9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7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BBFFCE5-702F-4582-BB4B-1C0CF9B7DE7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7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B52AF44-DDC7-4901-9A97-7BF53658828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7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9984844-698F-4219-8F0B-17C65F39A07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7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42ACD42-EFD3-4668-9289-D1137816874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7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6BDDFB2-319C-41ED-91EB-818F4902936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8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24B9252-7E2D-4EC2-916D-5B949A9E9E0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8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DA71BD9-54B0-437A-B0DF-840CE85FB5D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8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9582DC1-1067-4A79-BB02-8A679426B7B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8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18DB5E3-864F-4225-9160-CA8E756B3E2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8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A93E7C0-AAC9-4AD8-B6C0-D1AB21E48E2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8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BF75C39-FE0E-40F3-892C-F67A049362D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8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9D3C8F6-B2A0-4C33-9A9E-3B6B52DA1C4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8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0135055-E5C5-490C-8966-556BAB4B1E6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8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EFA394A-A304-402E-A133-DB18C71A7D3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8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6DA0D81-51F7-4C38-9DEA-0A591E402B6E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9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E71E515-F75A-4743-A202-3C6E180C9C4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9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B122DA1-7ABA-4DAB-AA1C-796AEC1CC17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9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0DDBCF5-05EC-4C78-B25A-2561DF1180E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9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D247598-DA0D-44BF-A35C-1AE6E5C9F30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9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D2603C1-3CF5-46F7-AFAB-4874F37B4B2E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9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590B295-5BC7-4C64-A732-05D9DD1EB1C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9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1C5ACC0-E18C-4369-A11F-B4D59ABA3F4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9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EF69621-1FB8-474E-8E73-5FEE4F1B361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9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097FDB6-A1E6-4F0C-86FD-EA13EAB4D40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9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D80D86E-8B7B-4C06-8EA3-4E042C9FD7C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0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F69185A-353D-458A-AF2F-9EBD01F5AAFE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0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EA83BD0-4CEA-4EB1-8DC9-C6C7CCF7190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0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4B20EA1-CDDB-474A-BDFC-CCB76E72283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0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AA87C2D-EA8B-4564-9B72-7380F55187F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0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48AEA5A-E642-461A-A66D-ACFDC0FDE8B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0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2C350A9-088D-4C69-886E-6145A07D49EE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0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917A795-389C-439F-A941-7896EE63504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0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013B268-DB6C-4E4A-95CB-9803F2C2D57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0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59FB1D4-80BD-41A0-8D52-729123C793A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0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6CD8AC2-B4CB-498D-8DFF-CDEB9ED04FF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1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1BADE42-C556-48B0-907C-1F0BCD88A80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1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1CF2B3A-CD35-4647-8D2B-204DAF9C5DF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1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00DF2BF-67E9-4782-B753-9BB01F1ACE1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1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18C224B-CCC0-4E8B-BFB2-39F168E0D1A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1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D1D1CCE-0F94-4444-A739-5E63396EC73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1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96AEBCB-2C7E-4296-8CDB-80483949BA8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1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8A8AB29-3755-4301-A60E-E68A6A9688C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1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F0A0600-5383-4B7A-A545-5B0ED46CB1F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1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83F7ECC-9E10-47C0-BE9C-6AA593EB44F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1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75426D1-281C-4DD9-AFD6-B32635E22C8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2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AA960F4-3E3D-49E4-AC8E-1A6D3970C8B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2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02768CB-1F87-47BA-AF7A-E5FD9BCF3E7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2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5F3943A-A5A3-49F4-BB12-0A4D74C516A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2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578424D-ED58-4772-9660-F078F1CB7D3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2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99E074A-E173-4794-B254-DC61462651B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2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C55CBDC-5ECE-4F7E-B9D0-DCFCBD88C3F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2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7750808-E6B2-4170-A417-64A9DB08726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2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A02C8C9-B29C-4A0F-B63C-6FD1B1025AD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2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1D00D4E-A565-4B69-99E7-75804950F23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2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A0F3809-D2A2-4CB1-9ACC-E8BE3CB5171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3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D7D1135-96A6-4592-B928-02688C075CC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3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D64077B-F039-4039-8DF5-16340EE38D1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3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8384487-27D5-4EE1-9BEA-DED55F95B75E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3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8FA628C-3992-43E9-823C-8D328D520B1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3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6CF25BE-2B99-4D67-9D20-63AB253A222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3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ECF5A15-6A56-454E-A897-C435EDD81B3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3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168E7C5-5075-4E50-BE33-CF7865C5540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3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F0FAC1B-492C-44B5-85AD-3813D733492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3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E55729E-6715-40A6-960E-0CB883F9B53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3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4E6B39F-D238-4EBC-8129-8918B847F80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4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94B8526-6E4A-4A9E-AF7D-844C3D5238F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4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4B4589E-77E5-47FB-88AA-95F242D064E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4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3B8E61C-3500-4938-B866-4EE5069274E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4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D8BD9F2-0E84-406C-987F-C7A1D382903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4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B041EA6-78D9-4B1F-93FC-01BD3F28575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4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640DA02-5406-4113-A94F-32F23AA39AF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4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0C52B8D-1792-4A68-BA47-66400E52634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4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83A8FC1-A209-4641-8CA9-7B487A380F2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4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EA860DC-4DD5-4507-B567-026E915EFE0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4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D0296B1-E1D1-4534-80FE-D90E98BB1F4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5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47E495F-8696-4CDA-A3A0-823CB93864E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5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9713BA8-83C7-420E-809E-0AA3FE0ADF3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5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2581598-F8CA-47F0-815D-D12C0291BA9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5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9097A03-F9EE-462C-8EC6-69CF72DD001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5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B6F195E-1D59-4593-9A4B-45F4D1783AA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5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3E845F4-87CF-41EF-98E5-14FBF1F5D77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5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10D4AC5-C037-4BC4-8609-39080D99341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5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CB0F666-8FDB-4D00-8B1A-6976021A491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5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6ED3816-965E-4E36-8179-0C88B1EC87B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5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3305DDC-6FA1-4CC8-BEAF-A310A01FF5B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6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64C761D-B804-4149-87FA-5E5267689B5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6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A329D7A-043E-4AEA-A3ED-A1FD59F79A1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6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F0FF22A-6139-4750-BE33-4EB4A52B766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6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D2988D1-B384-4821-89CD-0780F645D65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6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CC3B75A-3948-4FDB-A0D7-797E56A03A6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34</xdr:row>
      <xdr:rowOff>0</xdr:rowOff>
    </xdr:from>
    <xdr:ext cx="304800" cy="302051"/>
    <xdr:sp macro="" textlink="">
      <xdr:nvSpPr>
        <xdr:cNvPr id="16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9CCE0E7-76C3-4595-BA37-89EC0AD325B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0</xdr:rowOff>
    </xdr:from>
    <xdr:to>
      <xdr:col>0</xdr:col>
      <xdr:colOff>304800</xdr:colOff>
      <xdr:row>25</xdr:row>
      <xdr:rowOff>105954</xdr:rowOff>
    </xdr:to>
    <xdr:sp macro="" textlink="">
      <xdr:nvSpPr>
        <xdr:cNvPr id="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74D81ED-4A11-4823-B896-6067D5B8747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5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4DC2FCD-DF11-4CF4-9D33-CE398D7B0A0E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A56D40F-BF26-4B23-A8DB-4B4FE57B6FD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038DA76-D69E-45B8-B89C-D44AC9E6ECF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BB90F2D-442D-4A49-9F7A-9BBE9BFA376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4739254-0D58-4386-BBF0-B994A7B6828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01D74A5-C40F-4A78-AA02-85EAC6B7D6C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2A6B7F6-BE6D-41E4-850B-14552CC8B39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DE0087F-5D80-44FD-8461-27485B8AAB0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34B3164-A4BA-4D5E-9B00-337DFD2E5EC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0C2686C-93FE-4BF5-AB6F-FDFBF22D3FB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8BFCFE3-1727-4979-846E-F729A71AFB0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F31DB5B-2E17-45E9-91DC-3BD5570AEFE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1453705-3962-4088-9E59-6E9666A2B6E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4526A2F-9F86-435D-941A-F1F08E04CCA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8D55C26-3C7D-44B5-96C0-F6433758294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AAA0E96-76F1-4D82-993F-706C7D011D6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AE1D128-8062-4B38-AADD-718618781B7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2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2D44BB8-0A54-42F2-8821-495A09E1395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2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8F2ECEF-43D8-404D-9163-2E5F510E1BF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2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D82A0DF-9546-484F-8EF5-ADC0426D3D8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2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E4678D0-2136-4F13-9563-B696E2DBE1A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2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E404528-29ED-4D7A-A7E3-ED433A80C44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2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129DBB3-FA50-4187-8A24-3C8FDFB6E37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2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07A5EFF-9093-4F80-8543-A9A6382022D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2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160ED2A-8D81-4C61-9F6E-1167543823E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2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030D067-84FE-4B19-A9DF-B86FCB1A8C2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2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805ACCB-3252-48AE-8B0E-34F1A9B90C9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3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151B556-D926-4175-8D43-FC5C70C8CF6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3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63AA76E-2E21-42CF-8C9F-3F7A8E28B14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3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D571A40-8CCF-4D0B-B6E8-F9F456C6A76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3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D8F8CD4-AE8B-472C-B07A-D47D96BBF2A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3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BCB4B0D-6F61-4DB3-A56B-0856656159A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3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F36B37F-FA5F-4D2D-8538-74120D5B645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3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858EFC3-23EB-4179-A8F6-19B31881E0A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3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163DCC7-01BA-4EA0-A28F-D57C46C9069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3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7512415-C0AE-4AAF-9273-8B894AC0CE2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3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0B2E3F9-95FC-4518-8B43-338A65C1F75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4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CE2F060-118D-43F9-A396-D99858EBBE6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4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2EACE8B-1CAA-43E1-BF2F-CA719A72F6D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4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6B2BE14-0DFF-462B-9BBF-12D23070073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4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8588401-91FE-4E36-B969-12FFCF086E0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4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582F5BE-5C25-4384-9B83-F122F55225E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4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088CFBE-11E6-4B7B-AF30-3C13B5FB18A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4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E585769-C231-4200-82D2-7FC0AFB93B2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4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65614E6-A66A-4BB2-B112-320B2BF79F0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4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DA13716-8356-4584-ACDC-C984F9E834F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4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03BCE2D-1D28-4E04-A29B-CE61015860F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5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EECC705-8107-4C90-A288-9F49794B4F3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5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F5B2CD1-5118-4F62-87E8-B6F3C85B320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5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1A8C649-9A54-41CC-9AFF-D4A529A0D79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5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7CAF1D1-CDE0-4B32-B09C-D63F13F1C0A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5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47DBD86-76CE-40FF-B6A0-9581B772E98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5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55D33B0-8B37-4E11-93A7-E9D6C59F3D3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5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0AADC14-E84F-4417-928D-8D87EC4CD56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5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33A1A2A-5AD9-4F33-BF40-B99F6A1BF71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5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E1172EF-4858-4F33-B8AE-369FF81E27D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5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064793F-C2B7-4DE3-BE35-9E1632AF1A8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6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F519523-8C4B-41CD-B329-4C8391AFD8DE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6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917DD2B-F703-4754-A373-818E75C3FD1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6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44DC7E4-838D-486F-8978-910CD320EFF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6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C1725B2-98B7-4998-8E9F-D9FC831AA62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6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F3D602F-8290-42FD-9CCE-F235CCCDE70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6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6BBF11F-081E-47BA-84A5-858B0FC2708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6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6AD672F-03B0-4F8F-9E46-91D91BCE013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6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9FFDE43-E690-466B-A5BC-E7024FE404C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6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92CE879-EA52-48AE-94CF-3AA19B47E38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6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8B74B53-0F04-4B1C-945D-80A5325F976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7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8B97DCC-ADC5-499D-99E9-5325FE1CC45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7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0CA65C2-09A0-43A9-A138-60AFD6441FB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7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71CB041-8E2A-4818-8E04-1EC23B14DBF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7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68BB50C-384E-4555-A78F-22CBDD65AFE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7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F5B1D1E-F72E-4EFC-BD29-CDC71F51E3A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7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DD73D40-D3C6-44BD-AC00-10F761043B4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7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752D20A-E121-4391-8FAD-34DE4025176E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7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D4A98E3-D956-4F7A-8A04-4D950812D3E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7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6AD7182-9E70-4003-B6D2-174DD50DF23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7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628EA88-C756-4AF7-88EF-533A520F9DA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8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971F933-E08A-4862-A9C0-B9011E9414C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8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BDEBBC4-FE6D-4E3F-9E47-612DD4F89F0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8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CACFD7C-65FC-40A7-A2AC-B61C0209113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8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02CCD3E-DAF1-4D82-BF3B-153BFBFBB7A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8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0061EF2-9CC7-4178-8322-CF201773330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8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B0DE182-15AD-48FF-85EA-406971085F1E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8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059A1F3-A8F2-4C1A-9EF2-3F77AE79E9B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8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5F2C032-7F9D-4350-99BB-0EBA923823A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8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1F17529-CD69-493B-B270-0A64FFD19B2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8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B96A60A-9851-47DC-870B-F5027BF1EF5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9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47414D6-1491-4452-91C1-2413D5B7D01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9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2BF3F58-8550-49ED-BBD7-7B101766557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9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57FEB30-59D1-41AC-835E-E600DAAAB03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9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66EE34E-7F57-4C59-ADC1-4D35318485E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9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060C0B6-683C-43BC-9DCF-6891077CDD4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9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FAF302D-2358-4B73-88FC-85807E40DAB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9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20CFC7C-1D37-4A9A-8B22-2FFC830415B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9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004D9D8-2D63-48D3-A16F-A59679927D8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9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26B3D35-2290-40C8-9288-3D6A467DE21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9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2F28D1A-F943-42AF-B5D2-5EB74D770CF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0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ADF1004-348C-420E-8E72-042EA03DA28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0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B5C85EB-971C-4367-B97A-DD365B778CA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0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C84FCBB-0AFF-4526-B5F9-BF188C21C63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0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978DF37-C1D0-4121-A65B-63223DAA74F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0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9CA8A97-6464-4F98-BB92-E9D71AC4C61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0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3BEBCB6-6D1B-42A0-8B18-F8012FDC71B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0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CAAD2A4-25A8-4649-95F9-2F51A2088F8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0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D9A7887-1472-4B52-90F2-5F1CBE445D6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0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AF35F89-CC3F-4427-BC52-04D74C9D3C3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0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E006003-4F84-4159-9D44-FCE39AE6CD6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1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F357DEC-C600-48F1-AEFD-A849CFDC3B2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1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CDEB6FE-9A09-46DF-B684-5D3848FB83F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1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F099483-23D5-4999-BE58-B36B91B7CBB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1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12FE77D-1A05-4AED-A145-88C18EA59074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1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55C7FEC-20EC-4E94-B3AB-B0314AA6112C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1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5ED4E2A-BE23-48A8-98A1-646406FCFEE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1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302588D-67CE-4A40-976D-05DF49F4F3B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1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8B39D47-CE15-4CA4-8E18-20F313904F9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1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843952E-97F3-46FF-BF3B-9FFF384A236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1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C3EF22B-91AA-4C56-8B83-1B38093717B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2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CC4BF41-ECD8-47B3-BB9D-E714C3F10D2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2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134D2FD-77AE-441D-A062-CE664A13599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2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0DA981E-C80E-4A5E-B412-06EECA23CEC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2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101EE4D-8174-4959-8055-71B58D49520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2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65587B5-B33D-46DC-8F3F-A38DE80A88D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2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A618B4C-EB5C-4CE8-878A-3DFAFC117C7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2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65A20BB-7E0C-4CE3-A6EC-98F773B33FE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2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A80EE9A-A407-4845-987F-CFC423FE4A0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2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0D3977E-2C6B-4AB7-8D5E-3395DB6D8A7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2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7DBA0C13-D801-4A80-B59E-8B18E7755DA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3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8EC7137-ABA1-4CDF-B5D9-3027AC60213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3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A76D810-1DC4-4D35-A0BA-F559D5EFA28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3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C463548-193A-4D72-9ABC-E56FED683C8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3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2A0E063B-E5F3-4056-A1E7-EB943A02ECE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3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EE2E9F9-C201-4BF9-BDBE-7B09B643286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3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79BE693-5612-41F1-89F8-6460CE18ECF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3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4993A43-8C85-4C3F-9B44-68665857A52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3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822B5E3-D6FC-4411-9DD0-C2E36A50BD2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3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0EFDBF7-AC27-413E-B327-726BB847EFA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3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DB924E5-E421-45D9-A9F2-E1CDB446DAA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4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151F6D3-E855-4D2E-B380-A37D0308642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4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631BD849-524B-460E-A633-84A716597E3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4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541C01A-25BC-47E3-93F3-CA8C5F159DC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4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E874F715-FD70-4611-AFD6-450DE26F0CB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4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53EC6C7-81A3-4172-95EE-2E2113F237AA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4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D9B2187-934B-47A0-A023-7934C249DC9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4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731EFFC-7B9A-4AE4-89E2-3FEA7902388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4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74E870B-4C08-42AA-9CEE-01E3BD53B8C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4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CFF7481-325F-4189-A570-4ADAA91BF2F0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4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41C75740-86C7-49E6-87D0-4016707D8B1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5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8A1C15E-06E2-4E77-B6DB-A70C3B9E262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5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759A40F-CEC3-4A7A-9873-3AD335DD5791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5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C97ACA69-F859-4FDB-B308-A09C02A248AF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5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8B1B7C7C-5FF5-4F8B-8366-7260C2732717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5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012780C9-8DC6-4358-8343-DEC2BC58132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5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E7E3114-7DD0-47E9-83CA-6A8945726BC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56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9583A87-2F65-4D58-BACC-925B50F5F83D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57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B906C656-58CA-4B12-9025-E0E8B12CA03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58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1D577501-CA3F-47BC-8585-28BEF5FF426B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59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5DD8D160-A124-4D68-85F0-52AE40EDD5D3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60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30473160-7984-42C4-9462-F635A465D405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61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93158A8F-0E68-4E18-9F21-6D4A9BBEAD0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62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7BD94AE-9D23-4081-8577-805A14316768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63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FE15A279-072A-47EB-B059-B2550C56D1B6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64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A1172198-86A7-4FAD-A638-85239BDC5239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</xdr:row>
      <xdr:rowOff>0</xdr:rowOff>
    </xdr:from>
    <xdr:ext cx="304800" cy="302051"/>
    <xdr:sp macro="" textlink="">
      <xdr:nvSpPr>
        <xdr:cNvPr id="165" name="AutoShape 1" descr="https://bin.yhdistysavain.fi/1588784/9HkiP3OzoX9qit9gHGGL0W6pfe@1000=DXDuGdw3ni/IMG-20210815-WA0009.jpg">
          <a:extLst>
            <a:ext uri="{FF2B5EF4-FFF2-40B4-BE49-F238E27FC236}">
              <a16:creationId xmlns:a16="http://schemas.microsoft.com/office/drawing/2014/main" id="{DE02D90A-DCFB-4C52-81C6-BB2048135BF2}"/>
            </a:ext>
          </a:extLst>
        </xdr:cNvPr>
        <xdr:cNvSpPr>
          <a:spLocks noChangeAspect="1" noChangeArrowheads="1"/>
        </xdr:cNvSpPr>
      </xdr:nvSpPr>
      <xdr:spPr bwMode="auto">
        <a:xfrm>
          <a:off x="0" y="3667125"/>
          <a:ext cx="304800" cy="30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esistulokset.fi/pelaaja/10654" TargetMode="External"/><Relationship Id="rId13" Type="http://schemas.openxmlformats.org/officeDocument/2006/relationships/hyperlink" Target="https://www.pesistulokset.fi/pelaaja/10575" TargetMode="External"/><Relationship Id="rId3" Type="http://schemas.openxmlformats.org/officeDocument/2006/relationships/hyperlink" Target="https://www.pesistulokset.fi/pelaaja/11028" TargetMode="External"/><Relationship Id="rId7" Type="http://schemas.openxmlformats.org/officeDocument/2006/relationships/hyperlink" Target="https://www.pesistulokset.fi/pelaaja/7776" TargetMode="External"/><Relationship Id="rId12" Type="http://schemas.openxmlformats.org/officeDocument/2006/relationships/hyperlink" Target="https://www.pesistulokset.fi/pelaaja/10646" TargetMode="External"/><Relationship Id="rId2" Type="http://schemas.openxmlformats.org/officeDocument/2006/relationships/hyperlink" Target="https://www.pesistulokset.fi/pelaaja/11662" TargetMode="External"/><Relationship Id="rId1" Type="http://schemas.openxmlformats.org/officeDocument/2006/relationships/hyperlink" Target="https://www.pesistulokset.fi/pelaaja/10679" TargetMode="External"/><Relationship Id="rId6" Type="http://schemas.openxmlformats.org/officeDocument/2006/relationships/hyperlink" Target="https://www.pesistulokset.fi/pelaaja/10461" TargetMode="External"/><Relationship Id="rId11" Type="http://schemas.openxmlformats.org/officeDocument/2006/relationships/hyperlink" Target="https://www.pesistulokset.fi/pelaaja/10104" TargetMode="External"/><Relationship Id="rId5" Type="http://schemas.openxmlformats.org/officeDocument/2006/relationships/hyperlink" Target="https://www.pesistulokset.fi/pelaaja/7068" TargetMode="External"/><Relationship Id="rId10" Type="http://schemas.openxmlformats.org/officeDocument/2006/relationships/hyperlink" Target="https://www.pesistulokset.fi/pelaaja/9024" TargetMode="External"/><Relationship Id="rId4" Type="http://schemas.openxmlformats.org/officeDocument/2006/relationships/hyperlink" Target="https://www.pesistulokset.fi/pelaaja/9031" TargetMode="External"/><Relationship Id="rId9" Type="http://schemas.openxmlformats.org/officeDocument/2006/relationships/hyperlink" Target="https://www.pesistulokset.fi/pelaaja/10118" TargetMode="External"/><Relationship Id="rId14" Type="http://schemas.openxmlformats.org/officeDocument/2006/relationships/hyperlink" Target="https://www.pesistulokset.fi/pelaaja/1146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750"/>
  <sheetViews>
    <sheetView tabSelected="1" zoomScale="97" zoomScaleNormal="97" workbookViewId="0"/>
  </sheetViews>
  <sheetFormatPr defaultRowHeight="15"/>
  <cols>
    <col min="1" max="1" width="9.140625" style="4"/>
    <col min="2" max="2" width="5.28515625" style="6" customWidth="1"/>
    <col min="3" max="3" width="30.7109375" style="3" customWidth="1"/>
    <col min="4" max="10" width="6.42578125" style="6" customWidth="1"/>
    <col min="11" max="11" width="8.7109375" style="13" customWidth="1"/>
    <col min="12" max="12" width="1.28515625" style="6" customWidth="1"/>
    <col min="13" max="13" width="6.85546875" style="13" customWidth="1"/>
    <col min="14" max="14" width="7.28515625" style="13" customWidth="1"/>
    <col min="15" max="15" width="9" style="13" customWidth="1"/>
    <col min="16" max="16" width="9.140625" style="4"/>
    <col min="17" max="17" width="11.7109375" style="3" customWidth="1"/>
    <col min="18" max="20" width="14.7109375" style="6" customWidth="1"/>
    <col min="21" max="21" width="55.7109375" style="13" bestFit="1" customWidth="1"/>
    <col min="22" max="22" width="1.28515625" style="6" customWidth="1"/>
    <col min="23" max="23" width="5.42578125" style="13" customWidth="1"/>
    <col min="24" max="24" width="7.28515625" style="13" customWidth="1"/>
    <col min="25" max="16384" width="9.140625" style="4"/>
  </cols>
  <sheetData>
    <row r="1" spans="2:24" ht="20.25">
      <c r="B1" s="103"/>
      <c r="C1" s="128" t="s">
        <v>353</v>
      </c>
      <c r="N1" s="6"/>
      <c r="O1" s="139"/>
      <c r="Q1" s="137" t="s">
        <v>519</v>
      </c>
      <c r="R1" s="4"/>
      <c r="S1" s="4"/>
      <c r="X1" s="22"/>
    </row>
    <row r="2" spans="2:24" ht="20.25">
      <c r="C2" s="3" t="s">
        <v>354</v>
      </c>
      <c r="D2" s="6" t="s">
        <v>311</v>
      </c>
      <c r="E2" s="6" t="s">
        <v>355</v>
      </c>
      <c r="F2" s="6" t="s">
        <v>356</v>
      </c>
      <c r="G2" s="6" t="s">
        <v>357</v>
      </c>
      <c r="H2" s="6" t="s">
        <v>358</v>
      </c>
      <c r="I2" s="6" t="s">
        <v>359</v>
      </c>
      <c r="J2" s="6" t="s">
        <v>360</v>
      </c>
      <c r="K2" s="129"/>
      <c r="L2" s="6" t="s">
        <v>361</v>
      </c>
      <c r="M2" s="6"/>
      <c r="N2" s="6" t="s">
        <v>362</v>
      </c>
      <c r="O2" s="6" t="s">
        <v>363</v>
      </c>
      <c r="Q2" s="3" t="s">
        <v>520</v>
      </c>
      <c r="R2" s="2" t="s">
        <v>521</v>
      </c>
      <c r="S2" s="6" t="s">
        <v>522</v>
      </c>
      <c r="T2" s="6" t="s">
        <v>523</v>
      </c>
      <c r="U2" s="3" t="s">
        <v>524</v>
      </c>
      <c r="X2" s="22"/>
    </row>
    <row r="3" spans="2:24">
      <c r="B3" s="130" t="s">
        <v>364</v>
      </c>
      <c r="C3" s="4" t="s">
        <v>169</v>
      </c>
      <c r="D3" s="13">
        <v>20</v>
      </c>
      <c r="E3" s="13">
        <v>346</v>
      </c>
      <c r="F3" s="13">
        <v>99</v>
      </c>
      <c r="G3" s="13">
        <v>65</v>
      </c>
      <c r="H3" s="13">
        <v>2</v>
      </c>
      <c r="I3" s="13">
        <v>28</v>
      </c>
      <c r="J3" s="13">
        <v>152</v>
      </c>
      <c r="K3" s="142">
        <v>3610</v>
      </c>
      <c r="L3" s="142" t="s">
        <v>36</v>
      </c>
      <c r="M3" s="142">
        <v>3840</v>
      </c>
      <c r="N3" s="13">
        <f>PRODUCT(F3*3+G3*2+H3+I3)</f>
        <v>457</v>
      </c>
      <c r="O3" s="140">
        <f t="shared" ref="O3:O66" si="0">PRODUCT((F3+G3)/E3)</f>
        <v>0.47398843930635837</v>
      </c>
      <c r="Q3" s="21">
        <v>1985</v>
      </c>
      <c r="R3" s="4" t="s">
        <v>525</v>
      </c>
      <c r="S3" s="13">
        <v>12</v>
      </c>
      <c r="T3" s="13">
        <v>60</v>
      </c>
      <c r="U3" s="21" t="s">
        <v>526</v>
      </c>
      <c r="W3" s="21"/>
      <c r="X3" s="22"/>
    </row>
    <row r="4" spans="2:24">
      <c r="B4" s="130" t="s">
        <v>365</v>
      </c>
      <c r="C4" s="134" t="s">
        <v>205</v>
      </c>
      <c r="D4" s="125">
        <v>14</v>
      </c>
      <c r="E4" s="125">
        <v>273</v>
      </c>
      <c r="F4" s="125">
        <v>85</v>
      </c>
      <c r="G4" s="125">
        <v>81</v>
      </c>
      <c r="H4" s="125">
        <v>5</v>
      </c>
      <c r="I4" s="125">
        <v>25</v>
      </c>
      <c r="J4" s="125">
        <v>77</v>
      </c>
      <c r="K4" s="143">
        <v>3231</v>
      </c>
      <c r="L4" s="143" t="s">
        <v>36</v>
      </c>
      <c r="M4" s="143">
        <v>2309</v>
      </c>
      <c r="N4" s="125">
        <v>447</v>
      </c>
      <c r="O4" s="141">
        <f t="shared" si="0"/>
        <v>0.60805860805860801</v>
      </c>
      <c r="Q4" s="21">
        <v>1986</v>
      </c>
      <c r="R4" s="4" t="s">
        <v>525</v>
      </c>
      <c r="S4" s="13">
        <v>11</v>
      </c>
      <c r="T4" s="13">
        <v>50</v>
      </c>
      <c r="U4" s="21" t="s">
        <v>527</v>
      </c>
      <c r="W4" s="21"/>
      <c r="X4" s="22"/>
    </row>
    <row r="5" spans="2:24">
      <c r="B5" s="130" t="s">
        <v>366</v>
      </c>
      <c r="C5" s="134" t="s">
        <v>114</v>
      </c>
      <c r="D5" s="125">
        <v>15</v>
      </c>
      <c r="E5" s="125">
        <v>265</v>
      </c>
      <c r="F5" s="125">
        <v>80</v>
      </c>
      <c r="G5" s="125">
        <v>64</v>
      </c>
      <c r="H5" s="125">
        <v>0</v>
      </c>
      <c r="I5" s="125">
        <v>40</v>
      </c>
      <c r="J5" s="125">
        <v>81</v>
      </c>
      <c r="K5" s="125">
        <v>2154</v>
      </c>
      <c r="L5" s="143" t="s">
        <v>36</v>
      </c>
      <c r="M5" s="125">
        <v>1989</v>
      </c>
      <c r="N5" s="125">
        <v>408</v>
      </c>
      <c r="O5" s="141">
        <f t="shared" si="0"/>
        <v>0.54339622641509433</v>
      </c>
      <c r="Q5" s="21">
        <v>1987</v>
      </c>
      <c r="R5" s="4" t="s">
        <v>525</v>
      </c>
      <c r="S5" s="13">
        <v>14</v>
      </c>
      <c r="T5" s="13">
        <v>86</v>
      </c>
      <c r="U5" s="21" t="s">
        <v>528</v>
      </c>
      <c r="W5" s="21"/>
      <c r="X5" s="131"/>
    </row>
    <row r="6" spans="2:24">
      <c r="B6" s="130" t="s">
        <v>367</v>
      </c>
      <c r="C6" s="134" t="s">
        <v>51</v>
      </c>
      <c r="D6" s="125">
        <v>12</v>
      </c>
      <c r="E6" s="125">
        <v>239</v>
      </c>
      <c r="F6" s="125">
        <v>94</v>
      </c>
      <c r="G6" s="125">
        <v>38</v>
      </c>
      <c r="H6" s="125">
        <v>0</v>
      </c>
      <c r="I6" s="125">
        <v>31</v>
      </c>
      <c r="J6" s="125">
        <v>76</v>
      </c>
      <c r="K6" s="143">
        <v>2215</v>
      </c>
      <c r="L6" s="143" t="s">
        <v>36</v>
      </c>
      <c r="M6" s="143">
        <v>1982</v>
      </c>
      <c r="N6" s="125">
        <v>389</v>
      </c>
      <c r="O6" s="141">
        <f t="shared" si="0"/>
        <v>0.55230125523012552</v>
      </c>
      <c r="Q6" s="21">
        <v>1988</v>
      </c>
      <c r="R6" s="4" t="s">
        <v>525</v>
      </c>
      <c r="S6" s="13">
        <v>14</v>
      </c>
      <c r="T6" s="13">
        <v>84</v>
      </c>
      <c r="U6" s="21" t="s">
        <v>529</v>
      </c>
      <c r="W6" s="21"/>
      <c r="X6" s="131"/>
    </row>
    <row r="7" spans="2:24">
      <c r="B7" s="130" t="s">
        <v>368</v>
      </c>
      <c r="C7" s="4" t="s">
        <v>86</v>
      </c>
      <c r="D7" s="13">
        <v>14</v>
      </c>
      <c r="E7" s="13">
        <v>255</v>
      </c>
      <c r="F7" s="13">
        <v>80</v>
      </c>
      <c r="G7" s="13">
        <v>47</v>
      </c>
      <c r="H7" s="13">
        <v>0</v>
      </c>
      <c r="I7" s="13">
        <v>31</v>
      </c>
      <c r="J7" s="13">
        <v>97</v>
      </c>
      <c r="K7" s="142">
        <v>2498</v>
      </c>
      <c r="L7" s="142" t="s">
        <v>36</v>
      </c>
      <c r="M7" s="142">
        <v>2620</v>
      </c>
      <c r="N7" s="13">
        <v>365</v>
      </c>
      <c r="O7" s="140">
        <f t="shared" si="0"/>
        <v>0.49803921568627452</v>
      </c>
      <c r="Q7" s="21">
        <v>1989</v>
      </c>
      <c r="R7" s="4" t="s">
        <v>525</v>
      </c>
      <c r="S7" s="13">
        <v>16</v>
      </c>
      <c r="T7" s="13">
        <v>112</v>
      </c>
      <c r="U7" s="21" t="s">
        <v>530</v>
      </c>
      <c r="W7" s="21"/>
      <c r="X7" s="131"/>
    </row>
    <row r="8" spans="2:24">
      <c r="B8" s="130" t="s">
        <v>369</v>
      </c>
      <c r="C8" s="4" t="s">
        <v>370</v>
      </c>
      <c r="D8" s="13">
        <v>14</v>
      </c>
      <c r="E8" s="13">
        <v>251</v>
      </c>
      <c r="F8" s="13">
        <v>63</v>
      </c>
      <c r="G8" s="13">
        <v>54</v>
      </c>
      <c r="H8" s="13">
        <v>0</v>
      </c>
      <c r="I8" s="13">
        <v>32</v>
      </c>
      <c r="J8" s="13">
        <v>102</v>
      </c>
      <c r="K8" s="13">
        <v>2342</v>
      </c>
      <c r="L8" s="142" t="s">
        <v>36</v>
      </c>
      <c r="M8" s="13">
        <v>2670</v>
      </c>
      <c r="N8" s="13">
        <v>329</v>
      </c>
      <c r="O8" s="140">
        <f t="shared" si="0"/>
        <v>0.46613545816733065</v>
      </c>
      <c r="Q8" s="21">
        <v>1990</v>
      </c>
      <c r="R8" s="4" t="s">
        <v>525</v>
      </c>
      <c r="S8" s="13">
        <v>16</v>
      </c>
      <c r="T8" s="13">
        <v>112</v>
      </c>
      <c r="U8" s="21" t="s">
        <v>530</v>
      </c>
      <c r="W8" s="21"/>
      <c r="X8" s="131"/>
    </row>
    <row r="9" spans="2:24">
      <c r="B9" s="130" t="s">
        <v>371</v>
      </c>
      <c r="C9" s="134" t="s">
        <v>30</v>
      </c>
      <c r="D9" s="125">
        <v>12</v>
      </c>
      <c r="E9" s="125">
        <v>205</v>
      </c>
      <c r="F9" s="125">
        <v>78</v>
      </c>
      <c r="G9" s="125">
        <v>37</v>
      </c>
      <c r="H9" s="125">
        <v>0</v>
      </c>
      <c r="I9" s="125">
        <v>18</v>
      </c>
      <c r="J9" s="125">
        <v>72</v>
      </c>
      <c r="K9" s="143">
        <v>2046</v>
      </c>
      <c r="L9" s="143" t="s">
        <v>36</v>
      </c>
      <c r="M9" s="143">
        <v>1787</v>
      </c>
      <c r="N9" s="125">
        <v>326</v>
      </c>
      <c r="O9" s="141">
        <f t="shared" si="0"/>
        <v>0.56097560975609762</v>
      </c>
      <c r="Q9" s="21">
        <v>1991</v>
      </c>
      <c r="R9" s="4" t="s">
        <v>525</v>
      </c>
      <c r="S9" s="13">
        <v>14</v>
      </c>
      <c r="T9" s="13">
        <v>84</v>
      </c>
      <c r="U9" s="21" t="s">
        <v>529</v>
      </c>
      <c r="W9" s="21"/>
      <c r="X9" s="131"/>
    </row>
    <row r="10" spans="2:24">
      <c r="B10" s="130" t="s">
        <v>372</v>
      </c>
      <c r="C10" s="134" t="s">
        <v>68</v>
      </c>
      <c r="D10" s="125">
        <v>12</v>
      </c>
      <c r="E10" s="125">
        <v>200</v>
      </c>
      <c r="F10" s="125">
        <v>64</v>
      </c>
      <c r="G10" s="125">
        <v>45</v>
      </c>
      <c r="H10" s="125">
        <v>0</v>
      </c>
      <c r="I10" s="125">
        <v>22</v>
      </c>
      <c r="J10" s="125">
        <v>69</v>
      </c>
      <c r="K10" s="143">
        <v>1931</v>
      </c>
      <c r="L10" s="143" t="s">
        <v>36</v>
      </c>
      <c r="M10" s="143">
        <v>1928</v>
      </c>
      <c r="N10" s="125">
        <v>304</v>
      </c>
      <c r="O10" s="141">
        <f t="shared" si="0"/>
        <v>0.54500000000000004</v>
      </c>
      <c r="Q10" s="21" t="s">
        <v>531</v>
      </c>
      <c r="R10" s="4" t="s">
        <v>532</v>
      </c>
      <c r="S10" s="13">
        <v>12</v>
      </c>
      <c r="T10" s="13">
        <v>132</v>
      </c>
      <c r="U10" s="21" t="s">
        <v>533</v>
      </c>
      <c r="W10" s="21"/>
      <c r="X10" s="131"/>
    </row>
    <row r="11" spans="2:24">
      <c r="B11" s="130" t="s">
        <v>373</v>
      </c>
      <c r="C11" s="4" t="s">
        <v>374</v>
      </c>
      <c r="D11" s="13">
        <v>13</v>
      </c>
      <c r="E11" s="13">
        <v>225</v>
      </c>
      <c r="F11" s="13">
        <v>59</v>
      </c>
      <c r="G11" s="13">
        <v>50</v>
      </c>
      <c r="H11" s="13">
        <v>2</v>
      </c>
      <c r="I11" s="13">
        <v>24</v>
      </c>
      <c r="J11" s="13">
        <v>90</v>
      </c>
      <c r="K11" s="142">
        <v>2190</v>
      </c>
      <c r="L11" s="142" t="s">
        <v>36</v>
      </c>
      <c r="M11" s="142">
        <v>2283</v>
      </c>
      <c r="N11" s="13">
        <f>PRODUCT(F11*3+G11*2+H11+I11)</f>
        <v>303</v>
      </c>
      <c r="O11" s="140">
        <f t="shared" si="0"/>
        <v>0.48444444444444446</v>
      </c>
      <c r="Q11" s="21" t="s">
        <v>534</v>
      </c>
      <c r="R11" s="4" t="s">
        <v>532</v>
      </c>
      <c r="S11" s="13">
        <v>16</v>
      </c>
      <c r="T11" s="13">
        <v>176</v>
      </c>
      <c r="U11" s="21" t="s">
        <v>535</v>
      </c>
      <c r="W11" s="21"/>
      <c r="X11" s="131"/>
    </row>
    <row r="12" spans="2:24">
      <c r="B12" s="130" t="s">
        <v>375</v>
      </c>
      <c r="C12" s="4" t="s">
        <v>207</v>
      </c>
      <c r="D12" s="13">
        <v>10</v>
      </c>
      <c r="E12" s="13">
        <v>178</v>
      </c>
      <c r="F12" s="13">
        <v>63</v>
      </c>
      <c r="G12" s="13">
        <v>42</v>
      </c>
      <c r="H12" s="13">
        <v>0</v>
      </c>
      <c r="I12" s="13">
        <v>23</v>
      </c>
      <c r="J12" s="13">
        <v>50</v>
      </c>
      <c r="K12" s="13">
        <v>1737</v>
      </c>
      <c r="L12" s="142" t="s">
        <v>36</v>
      </c>
      <c r="M12" s="13">
        <v>1294</v>
      </c>
      <c r="N12" s="13">
        <v>296</v>
      </c>
      <c r="O12" s="140">
        <f t="shared" si="0"/>
        <v>0.5898876404494382</v>
      </c>
      <c r="Q12" s="21">
        <v>1998</v>
      </c>
      <c r="R12" s="4" t="s">
        <v>532</v>
      </c>
      <c r="S12" s="13">
        <v>14</v>
      </c>
      <c r="T12" s="13">
        <v>133</v>
      </c>
      <c r="U12" s="21" t="s">
        <v>536</v>
      </c>
      <c r="W12" s="21"/>
      <c r="X12" s="131"/>
    </row>
    <row r="13" spans="2:24">
      <c r="B13" s="130" t="s">
        <v>376</v>
      </c>
      <c r="C13" s="4" t="s">
        <v>8</v>
      </c>
      <c r="D13" s="13">
        <v>9</v>
      </c>
      <c r="E13" s="13">
        <v>166</v>
      </c>
      <c r="F13" s="13">
        <v>54</v>
      </c>
      <c r="G13" s="13">
        <v>57</v>
      </c>
      <c r="H13" s="13">
        <v>2</v>
      </c>
      <c r="I13" s="13">
        <v>17</v>
      </c>
      <c r="J13" s="13">
        <v>36</v>
      </c>
      <c r="K13" s="142">
        <v>2057</v>
      </c>
      <c r="L13" s="142" t="s">
        <v>36</v>
      </c>
      <c r="M13" s="142">
        <v>1312</v>
      </c>
      <c r="N13" s="13">
        <f>PRODUCT(F13*3+G13*2+H13+I13)</f>
        <v>295</v>
      </c>
      <c r="O13" s="140">
        <f t="shared" si="0"/>
        <v>0.66867469879518071</v>
      </c>
      <c r="Q13" s="21">
        <v>1999</v>
      </c>
      <c r="R13" s="4" t="s">
        <v>532</v>
      </c>
      <c r="S13" s="13">
        <v>10</v>
      </c>
      <c r="T13" s="13">
        <v>90</v>
      </c>
      <c r="U13" s="21" t="s">
        <v>537</v>
      </c>
      <c r="W13" s="21"/>
      <c r="X13" s="131"/>
    </row>
    <row r="14" spans="2:24">
      <c r="B14" s="130" t="s">
        <v>377</v>
      </c>
      <c r="C14" s="4" t="s">
        <v>209</v>
      </c>
      <c r="D14" s="13">
        <v>8</v>
      </c>
      <c r="E14" s="13">
        <v>171</v>
      </c>
      <c r="F14" s="13">
        <v>70</v>
      </c>
      <c r="G14" s="13">
        <v>26</v>
      </c>
      <c r="H14" s="13">
        <v>2</v>
      </c>
      <c r="I14" s="13">
        <v>21</v>
      </c>
      <c r="J14" s="13">
        <v>52</v>
      </c>
      <c r="K14" s="142">
        <v>1770</v>
      </c>
      <c r="L14" s="142" t="s">
        <v>36</v>
      </c>
      <c r="M14" s="142">
        <v>1537</v>
      </c>
      <c r="N14" s="13">
        <v>285</v>
      </c>
      <c r="O14" s="140">
        <f t="shared" si="0"/>
        <v>0.56140350877192979</v>
      </c>
      <c r="Q14" s="21">
        <v>2000</v>
      </c>
      <c r="R14" s="4" t="s">
        <v>532</v>
      </c>
      <c r="S14" s="13">
        <v>11</v>
      </c>
      <c r="T14" s="13">
        <v>110</v>
      </c>
      <c r="U14" s="21" t="s">
        <v>538</v>
      </c>
      <c r="W14" s="21"/>
      <c r="X14" s="131"/>
    </row>
    <row r="15" spans="2:24">
      <c r="B15" s="130" t="s">
        <v>378</v>
      </c>
      <c r="C15" s="4" t="s">
        <v>19</v>
      </c>
      <c r="D15" s="13">
        <v>9</v>
      </c>
      <c r="E15" s="13">
        <v>168</v>
      </c>
      <c r="F15" s="13">
        <v>64</v>
      </c>
      <c r="G15" s="13">
        <v>29</v>
      </c>
      <c r="H15" s="13">
        <v>0</v>
      </c>
      <c r="I15" s="13">
        <v>21</v>
      </c>
      <c r="J15" s="13">
        <v>54</v>
      </c>
      <c r="K15" s="142">
        <v>1887</v>
      </c>
      <c r="L15" s="142" t="s">
        <v>36</v>
      </c>
      <c r="M15" s="142">
        <v>1635</v>
      </c>
      <c r="N15" s="13">
        <v>271</v>
      </c>
      <c r="O15" s="140">
        <f t="shared" si="0"/>
        <v>0.5535714285714286</v>
      </c>
      <c r="Q15" s="21">
        <v>2001</v>
      </c>
      <c r="R15" s="4" t="s">
        <v>532</v>
      </c>
      <c r="S15" s="13">
        <v>12</v>
      </c>
      <c r="T15" s="13">
        <v>132</v>
      </c>
      <c r="U15" s="21" t="s">
        <v>533</v>
      </c>
      <c r="W15" s="21"/>
      <c r="X15" s="131"/>
    </row>
    <row r="16" spans="2:24">
      <c r="B16" s="130" t="s">
        <v>379</v>
      </c>
      <c r="C16" s="134" t="s">
        <v>20</v>
      </c>
      <c r="D16" s="125">
        <v>9</v>
      </c>
      <c r="E16" s="125">
        <v>180</v>
      </c>
      <c r="F16" s="125">
        <v>47</v>
      </c>
      <c r="G16" s="125">
        <v>49</v>
      </c>
      <c r="H16" s="125">
        <v>0</v>
      </c>
      <c r="I16" s="125">
        <v>22</v>
      </c>
      <c r="J16" s="125">
        <v>62</v>
      </c>
      <c r="K16" s="125">
        <v>1567</v>
      </c>
      <c r="L16" s="143" t="s">
        <v>36</v>
      </c>
      <c r="M16" s="125">
        <v>1474</v>
      </c>
      <c r="N16" s="125">
        <v>261</v>
      </c>
      <c r="O16" s="141">
        <f t="shared" si="0"/>
        <v>0.53333333333333333</v>
      </c>
      <c r="Q16" s="21">
        <v>2002</v>
      </c>
      <c r="R16" s="4" t="s">
        <v>532</v>
      </c>
      <c r="S16" s="13">
        <v>11</v>
      </c>
      <c r="T16" s="13">
        <v>110</v>
      </c>
      <c r="U16" s="21" t="s">
        <v>538</v>
      </c>
      <c r="W16" s="21"/>
      <c r="X16" s="131"/>
    </row>
    <row r="17" spans="2:24">
      <c r="B17" s="130" t="s">
        <v>380</v>
      </c>
      <c r="C17" s="134" t="s">
        <v>143</v>
      </c>
      <c r="D17" s="125">
        <v>12</v>
      </c>
      <c r="E17" s="125">
        <v>196</v>
      </c>
      <c r="F17" s="125">
        <v>57</v>
      </c>
      <c r="G17" s="125">
        <v>32</v>
      </c>
      <c r="H17" s="125">
        <v>0</v>
      </c>
      <c r="I17" s="125">
        <v>26</v>
      </c>
      <c r="J17" s="125">
        <v>81</v>
      </c>
      <c r="K17" s="143">
        <v>1689</v>
      </c>
      <c r="L17" s="143" t="s">
        <v>36</v>
      </c>
      <c r="M17" s="143">
        <v>1747</v>
      </c>
      <c r="N17" s="125">
        <v>261</v>
      </c>
      <c r="O17" s="141">
        <f t="shared" si="0"/>
        <v>0.45408163265306123</v>
      </c>
      <c r="Q17" s="21">
        <v>2003</v>
      </c>
      <c r="R17" s="4" t="s">
        <v>532</v>
      </c>
      <c r="S17" s="13">
        <v>16</v>
      </c>
      <c r="T17" s="13">
        <v>176</v>
      </c>
      <c r="U17" s="21" t="s">
        <v>535</v>
      </c>
      <c r="W17" s="21"/>
      <c r="X17" s="131"/>
    </row>
    <row r="18" spans="2:24">
      <c r="B18" s="130" t="s">
        <v>381</v>
      </c>
      <c r="C18" s="4" t="s">
        <v>25</v>
      </c>
      <c r="D18" s="13">
        <v>9</v>
      </c>
      <c r="E18" s="13">
        <v>152</v>
      </c>
      <c r="F18" s="13">
        <v>59</v>
      </c>
      <c r="G18" s="13">
        <v>33</v>
      </c>
      <c r="H18" s="13">
        <v>0</v>
      </c>
      <c r="I18" s="13">
        <v>17</v>
      </c>
      <c r="J18" s="13">
        <v>43</v>
      </c>
      <c r="K18" s="142">
        <v>1448</v>
      </c>
      <c r="L18" s="142" t="s">
        <v>36</v>
      </c>
      <c r="M18" s="142">
        <v>1248</v>
      </c>
      <c r="N18" s="13">
        <v>260</v>
      </c>
      <c r="O18" s="140">
        <f t="shared" si="0"/>
        <v>0.60526315789473684</v>
      </c>
      <c r="Q18" s="21">
        <v>2004</v>
      </c>
      <c r="R18" s="4" t="s">
        <v>532</v>
      </c>
      <c r="S18" s="13">
        <v>12</v>
      </c>
      <c r="T18" s="13">
        <v>96</v>
      </c>
      <c r="U18" s="21" t="s">
        <v>526</v>
      </c>
      <c r="W18" s="21"/>
      <c r="X18" s="22"/>
    </row>
    <row r="19" spans="2:24">
      <c r="B19" s="130" t="s">
        <v>382</v>
      </c>
      <c r="C19" s="4" t="s">
        <v>6</v>
      </c>
      <c r="D19" s="13">
        <v>8</v>
      </c>
      <c r="E19" s="13">
        <v>141</v>
      </c>
      <c r="F19" s="13">
        <v>58</v>
      </c>
      <c r="G19" s="13">
        <v>27</v>
      </c>
      <c r="H19" s="13">
        <v>0</v>
      </c>
      <c r="I19" s="13">
        <v>25</v>
      </c>
      <c r="J19" s="13">
        <v>31</v>
      </c>
      <c r="K19" s="142">
        <v>1465</v>
      </c>
      <c r="L19" s="142" t="s">
        <v>36</v>
      </c>
      <c r="M19" s="142">
        <v>1180</v>
      </c>
      <c r="N19" s="13">
        <f>PRODUCT(F19*3+G19*2+H19+I19)</f>
        <v>253</v>
      </c>
      <c r="O19" s="140">
        <f t="shared" si="0"/>
        <v>0.6028368794326241</v>
      </c>
      <c r="Q19" s="21">
        <v>2005</v>
      </c>
      <c r="R19" s="4" t="s">
        <v>532</v>
      </c>
      <c r="S19" s="13">
        <v>10</v>
      </c>
      <c r="T19" s="13">
        <v>90</v>
      </c>
      <c r="U19" s="21" t="s">
        <v>537</v>
      </c>
      <c r="W19" s="21"/>
      <c r="X19" s="131"/>
    </row>
    <row r="20" spans="2:24">
      <c r="B20" s="130" t="s">
        <v>383</v>
      </c>
      <c r="C20" s="4" t="s">
        <v>82</v>
      </c>
      <c r="D20" s="13">
        <v>9</v>
      </c>
      <c r="E20" s="13">
        <v>138</v>
      </c>
      <c r="F20" s="13">
        <v>64</v>
      </c>
      <c r="G20" s="13">
        <v>21</v>
      </c>
      <c r="H20" s="13">
        <v>3</v>
      </c>
      <c r="I20" s="13">
        <v>10</v>
      </c>
      <c r="J20" s="13">
        <v>40</v>
      </c>
      <c r="K20" s="142">
        <v>1467</v>
      </c>
      <c r="L20" s="142" t="s">
        <v>36</v>
      </c>
      <c r="M20" s="142">
        <v>1189</v>
      </c>
      <c r="N20" s="13">
        <f>PRODUCT(F20*3+G20*2+H20+I20)</f>
        <v>247</v>
      </c>
      <c r="O20" s="140">
        <f t="shared" si="0"/>
        <v>0.61594202898550721</v>
      </c>
      <c r="Q20" s="21">
        <v>2006</v>
      </c>
      <c r="R20" s="4" t="s">
        <v>532</v>
      </c>
      <c r="S20" s="13">
        <v>9</v>
      </c>
      <c r="T20" s="13">
        <v>72</v>
      </c>
      <c r="U20" s="21" t="s">
        <v>539</v>
      </c>
      <c r="W20" s="21"/>
      <c r="X20" s="131"/>
    </row>
    <row r="21" spans="2:24">
      <c r="B21" s="130" t="s">
        <v>384</v>
      </c>
      <c r="C21" s="4" t="s">
        <v>385</v>
      </c>
      <c r="D21" s="13">
        <v>10</v>
      </c>
      <c r="E21" s="13">
        <v>126</v>
      </c>
      <c r="F21" s="13">
        <v>50</v>
      </c>
      <c r="G21" s="13">
        <v>44</v>
      </c>
      <c r="H21" s="13">
        <v>3</v>
      </c>
      <c r="I21" s="13">
        <v>5</v>
      </c>
      <c r="J21" s="13">
        <v>24</v>
      </c>
      <c r="K21" s="142">
        <v>1856</v>
      </c>
      <c r="L21" s="142" t="s">
        <v>36</v>
      </c>
      <c r="M21" s="142">
        <v>805</v>
      </c>
      <c r="N21" s="13">
        <f>PRODUCT(F21*3+G21*2+H21+I21)</f>
        <v>246</v>
      </c>
      <c r="O21" s="140">
        <f t="shared" si="0"/>
        <v>0.74603174603174605</v>
      </c>
      <c r="Q21" s="21">
        <v>2007</v>
      </c>
      <c r="R21" s="4" t="s">
        <v>532</v>
      </c>
      <c r="S21" s="13">
        <v>8</v>
      </c>
      <c r="T21" s="13">
        <v>56</v>
      </c>
      <c r="U21" s="21" t="s">
        <v>540</v>
      </c>
      <c r="W21" s="21"/>
      <c r="X21" s="131"/>
    </row>
    <row r="22" spans="2:24">
      <c r="B22" s="130" t="s">
        <v>386</v>
      </c>
      <c r="C22" s="4" t="s">
        <v>214</v>
      </c>
      <c r="D22" s="13">
        <v>10</v>
      </c>
      <c r="E22" s="13">
        <v>184</v>
      </c>
      <c r="F22" s="13">
        <v>29</v>
      </c>
      <c r="G22" s="13">
        <v>71</v>
      </c>
      <c r="H22" s="13">
        <v>1</v>
      </c>
      <c r="I22" s="13">
        <v>15</v>
      </c>
      <c r="J22" s="13">
        <v>68</v>
      </c>
      <c r="K22" s="142">
        <v>2110</v>
      </c>
      <c r="L22" s="142" t="s">
        <v>36</v>
      </c>
      <c r="M22" s="142">
        <v>1740</v>
      </c>
      <c r="N22" s="13">
        <f>PRODUCT(F22*3+G22*2+H22+I22)</f>
        <v>245</v>
      </c>
      <c r="O22" s="140">
        <f t="shared" si="0"/>
        <v>0.54347826086956519</v>
      </c>
      <c r="Q22" s="21">
        <v>2008</v>
      </c>
      <c r="R22" s="4" t="s">
        <v>532</v>
      </c>
      <c r="S22" s="13">
        <v>29</v>
      </c>
      <c r="T22" s="13">
        <v>182</v>
      </c>
      <c r="U22" s="21" t="s">
        <v>541</v>
      </c>
      <c r="W22" s="21"/>
      <c r="X22" s="131"/>
    </row>
    <row r="23" spans="2:24">
      <c r="B23" s="130" t="s">
        <v>387</v>
      </c>
      <c r="C23" s="4" t="s">
        <v>206</v>
      </c>
      <c r="D23" s="13">
        <v>8</v>
      </c>
      <c r="E23" s="13">
        <v>132</v>
      </c>
      <c r="F23" s="13">
        <v>34</v>
      </c>
      <c r="G23" s="13">
        <v>66</v>
      </c>
      <c r="H23" s="13">
        <v>3</v>
      </c>
      <c r="I23" s="13">
        <v>2</v>
      </c>
      <c r="J23" s="13">
        <v>27</v>
      </c>
      <c r="K23" s="142">
        <v>1848</v>
      </c>
      <c r="L23" s="142" t="s">
        <v>36</v>
      </c>
      <c r="M23" s="142">
        <v>857</v>
      </c>
      <c r="N23" s="13">
        <f>PRODUCT(F23*3+G23*2+H23+I23)</f>
        <v>239</v>
      </c>
      <c r="O23" s="140">
        <f t="shared" si="0"/>
        <v>0.75757575757575757</v>
      </c>
      <c r="Q23" s="21">
        <v>2009</v>
      </c>
      <c r="R23" s="4" t="s">
        <v>532</v>
      </c>
      <c r="S23" s="13">
        <v>28</v>
      </c>
      <c r="T23" s="13">
        <v>168</v>
      </c>
      <c r="U23" s="21" t="s">
        <v>542</v>
      </c>
      <c r="W23" s="21"/>
      <c r="X23" s="131"/>
    </row>
    <row r="24" spans="2:24">
      <c r="B24" s="130" t="s">
        <v>388</v>
      </c>
      <c r="C24" s="4" t="s">
        <v>389</v>
      </c>
      <c r="D24" s="13">
        <v>11</v>
      </c>
      <c r="E24" s="13">
        <v>162</v>
      </c>
      <c r="F24" s="13">
        <v>47</v>
      </c>
      <c r="G24" s="13">
        <v>35</v>
      </c>
      <c r="H24" s="13">
        <v>0</v>
      </c>
      <c r="I24" s="13">
        <v>28</v>
      </c>
      <c r="J24" s="13">
        <v>52</v>
      </c>
      <c r="K24" s="142">
        <v>1624</v>
      </c>
      <c r="L24" s="142" t="s">
        <v>36</v>
      </c>
      <c r="M24" s="142">
        <v>1425</v>
      </c>
      <c r="N24" s="13">
        <v>239</v>
      </c>
      <c r="O24" s="140">
        <f t="shared" si="0"/>
        <v>0.50617283950617287</v>
      </c>
      <c r="Q24" s="21" t="s">
        <v>543</v>
      </c>
      <c r="R24" s="4" t="s">
        <v>532</v>
      </c>
      <c r="S24" s="13">
        <v>27</v>
      </c>
      <c r="T24" s="13">
        <v>156</v>
      </c>
      <c r="U24" s="21" t="s">
        <v>544</v>
      </c>
      <c r="W24" s="21"/>
      <c r="X24" s="131"/>
    </row>
    <row r="25" spans="2:24">
      <c r="B25" s="130" t="s">
        <v>390</v>
      </c>
      <c r="C25" s="134" t="s">
        <v>130</v>
      </c>
      <c r="D25" s="125">
        <v>8</v>
      </c>
      <c r="E25" s="125">
        <v>134</v>
      </c>
      <c r="F25" s="125">
        <v>48</v>
      </c>
      <c r="G25" s="125">
        <v>36</v>
      </c>
      <c r="H25" s="125">
        <v>0</v>
      </c>
      <c r="I25" s="125">
        <v>16</v>
      </c>
      <c r="J25" s="125">
        <v>34</v>
      </c>
      <c r="K25" s="143">
        <v>1287</v>
      </c>
      <c r="L25" s="143" t="s">
        <v>36</v>
      </c>
      <c r="M25" s="143">
        <v>1103</v>
      </c>
      <c r="N25" s="125">
        <v>231</v>
      </c>
      <c r="O25" s="141">
        <f t="shared" si="0"/>
        <v>0.62686567164179108</v>
      </c>
      <c r="Q25" s="21" t="s">
        <v>545</v>
      </c>
      <c r="R25" s="4" t="s">
        <v>532</v>
      </c>
      <c r="S25" s="13">
        <v>8</v>
      </c>
      <c r="T25" s="13">
        <v>56</v>
      </c>
      <c r="U25" s="21" t="s">
        <v>540</v>
      </c>
      <c r="W25" s="21"/>
      <c r="X25" s="131"/>
    </row>
    <row r="26" spans="2:24">
      <c r="B26" s="130" t="s">
        <v>391</v>
      </c>
      <c r="C26" s="4" t="s">
        <v>213</v>
      </c>
      <c r="D26" s="13">
        <v>9</v>
      </c>
      <c r="E26" s="13">
        <v>168</v>
      </c>
      <c r="F26" s="13">
        <v>36</v>
      </c>
      <c r="G26" s="13">
        <v>51</v>
      </c>
      <c r="H26" s="13">
        <v>8</v>
      </c>
      <c r="I26" s="13">
        <v>6</v>
      </c>
      <c r="J26" s="13">
        <v>67</v>
      </c>
      <c r="K26" s="142">
        <v>1743</v>
      </c>
      <c r="L26" s="142" t="s">
        <v>36</v>
      </c>
      <c r="M26" s="142">
        <v>1565</v>
      </c>
      <c r="N26" s="13">
        <f>PRODUCT(F26*3+G26*2+H26+I26)</f>
        <v>224</v>
      </c>
      <c r="O26" s="140">
        <f t="shared" si="0"/>
        <v>0.5178571428571429</v>
      </c>
      <c r="Q26" s="21">
        <v>2014</v>
      </c>
      <c r="R26" s="4" t="s">
        <v>532</v>
      </c>
      <c r="S26" s="13">
        <v>9</v>
      </c>
      <c r="T26" s="13">
        <v>72</v>
      </c>
      <c r="U26" s="21" t="s">
        <v>539</v>
      </c>
      <c r="W26" s="21"/>
      <c r="X26" s="131"/>
    </row>
    <row r="27" spans="2:24">
      <c r="B27" s="130" t="s">
        <v>392</v>
      </c>
      <c r="C27" s="4" t="s">
        <v>24</v>
      </c>
      <c r="D27" s="13">
        <v>10</v>
      </c>
      <c r="E27" s="13">
        <v>180</v>
      </c>
      <c r="F27" s="13">
        <v>33</v>
      </c>
      <c r="G27" s="13">
        <v>48</v>
      </c>
      <c r="H27" s="13">
        <v>5</v>
      </c>
      <c r="I27" s="13">
        <v>13</v>
      </c>
      <c r="J27" s="13">
        <v>81</v>
      </c>
      <c r="K27" s="142">
        <v>1864</v>
      </c>
      <c r="L27" s="142" t="s">
        <v>36</v>
      </c>
      <c r="M27" s="142">
        <v>1761</v>
      </c>
      <c r="N27" s="13">
        <f>PRODUCT(F27*3+G27*2+H27+I27)</f>
        <v>213</v>
      </c>
      <c r="O27" s="140">
        <f t="shared" si="0"/>
        <v>0.45</v>
      </c>
      <c r="Q27" s="21">
        <v>2015</v>
      </c>
      <c r="R27" s="4" t="s">
        <v>532</v>
      </c>
      <c r="S27" s="13">
        <v>12</v>
      </c>
      <c r="T27" s="13">
        <v>132</v>
      </c>
      <c r="U27" s="21" t="s">
        <v>533</v>
      </c>
      <c r="W27" s="21"/>
      <c r="X27" s="131"/>
    </row>
    <row r="28" spans="2:24">
      <c r="B28" s="130" t="s">
        <v>393</v>
      </c>
      <c r="C28" s="4" t="s">
        <v>394</v>
      </c>
      <c r="D28" s="13">
        <v>11</v>
      </c>
      <c r="E28" s="13">
        <v>171</v>
      </c>
      <c r="F28" s="13">
        <v>20</v>
      </c>
      <c r="G28" s="13">
        <v>68</v>
      </c>
      <c r="H28" s="13">
        <v>5</v>
      </c>
      <c r="I28" s="13">
        <v>7</v>
      </c>
      <c r="J28" s="13">
        <v>71</v>
      </c>
      <c r="K28" s="142">
        <v>1611</v>
      </c>
      <c r="L28" s="142" t="s">
        <v>36</v>
      </c>
      <c r="M28" s="142">
        <v>1434</v>
      </c>
      <c r="N28" s="13">
        <f>PRODUCT(F28*3+G28*2+H28+I28)</f>
        <v>208</v>
      </c>
      <c r="O28" s="140">
        <f t="shared" si="0"/>
        <v>0.51461988304093564</v>
      </c>
      <c r="Q28" s="21">
        <v>2016</v>
      </c>
      <c r="R28" s="4" t="s">
        <v>532</v>
      </c>
      <c r="S28" s="13">
        <v>10</v>
      </c>
      <c r="T28" s="13">
        <v>90</v>
      </c>
      <c r="U28" s="21" t="s">
        <v>537</v>
      </c>
      <c r="W28" s="21"/>
      <c r="X28" s="131"/>
    </row>
    <row r="29" spans="2:24">
      <c r="B29" s="130" t="s">
        <v>395</v>
      </c>
      <c r="C29" s="134" t="s">
        <v>95</v>
      </c>
      <c r="D29" s="125">
        <v>8</v>
      </c>
      <c r="E29" s="125">
        <v>146</v>
      </c>
      <c r="F29" s="125">
        <v>35</v>
      </c>
      <c r="G29" s="125">
        <v>36</v>
      </c>
      <c r="H29" s="125">
        <v>0</v>
      </c>
      <c r="I29" s="125">
        <v>27</v>
      </c>
      <c r="J29" s="125">
        <v>48</v>
      </c>
      <c r="K29" s="125">
        <v>1120</v>
      </c>
      <c r="L29" s="143" t="s">
        <v>36</v>
      </c>
      <c r="M29" s="125">
        <v>1216</v>
      </c>
      <c r="N29" s="125">
        <v>204</v>
      </c>
      <c r="O29" s="141">
        <f t="shared" si="0"/>
        <v>0.4863013698630137</v>
      </c>
      <c r="Q29" s="21" t="s">
        <v>546</v>
      </c>
      <c r="R29" s="4" t="s">
        <v>532</v>
      </c>
      <c r="S29" s="13">
        <v>12</v>
      </c>
      <c r="T29" s="13">
        <v>132</v>
      </c>
      <c r="U29" s="21" t="s">
        <v>533</v>
      </c>
      <c r="W29" s="21"/>
      <c r="X29" s="131"/>
    </row>
    <row r="30" spans="2:24">
      <c r="B30" s="130" t="s">
        <v>396</v>
      </c>
      <c r="C30" s="4" t="s">
        <v>69</v>
      </c>
      <c r="D30" s="13">
        <v>7</v>
      </c>
      <c r="E30" s="13">
        <v>124</v>
      </c>
      <c r="F30" s="13">
        <v>40</v>
      </c>
      <c r="G30" s="13">
        <v>34</v>
      </c>
      <c r="H30" s="13">
        <v>0</v>
      </c>
      <c r="I30" s="13">
        <v>13</v>
      </c>
      <c r="J30" s="13">
        <v>37</v>
      </c>
      <c r="K30" s="142">
        <v>1059</v>
      </c>
      <c r="L30" s="142" t="s">
        <v>36</v>
      </c>
      <c r="M30" s="142">
        <v>968</v>
      </c>
      <c r="N30" s="13">
        <v>201</v>
      </c>
      <c r="O30" s="140">
        <f t="shared" si="0"/>
        <v>0.59677419354838712</v>
      </c>
      <c r="Q30" s="21">
        <v>2019</v>
      </c>
      <c r="R30" s="4" t="s">
        <v>532</v>
      </c>
      <c r="S30" s="13">
        <v>16</v>
      </c>
      <c r="T30" s="13">
        <v>176</v>
      </c>
      <c r="U30" s="21" t="s">
        <v>547</v>
      </c>
      <c r="W30" s="21"/>
      <c r="X30" s="131"/>
    </row>
    <row r="31" spans="2:24">
      <c r="B31" s="130" t="s">
        <v>397</v>
      </c>
      <c r="C31" s="4" t="s">
        <v>398</v>
      </c>
      <c r="D31" s="13">
        <v>7</v>
      </c>
      <c r="E31" s="13">
        <v>134</v>
      </c>
      <c r="F31" s="13">
        <v>37</v>
      </c>
      <c r="G31" s="13">
        <v>32</v>
      </c>
      <c r="H31" s="13">
        <v>0</v>
      </c>
      <c r="I31" s="13">
        <v>22</v>
      </c>
      <c r="J31" s="13">
        <v>43</v>
      </c>
      <c r="K31" s="13">
        <v>1089</v>
      </c>
      <c r="L31" s="142" t="s">
        <v>36</v>
      </c>
      <c r="M31" s="13">
        <v>1184</v>
      </c>
      <c r="N31" s="13">
        <v>197</v>
      </c>
      <c r="O31" s="140">
        <f t="shared" si="0"/>
        <v>0.5149253731343284</v>
      </c>
      <c r="Q31" s="21">
        <v>2020</v>
      </c>
      <c r="R31" s="4" t="s">
        <v>532</v>
      </c>
      <c r="S31" s="13">
        <v>16</v>
      </c>
      <c r="T31" s="13">
        <v>112</v>
      </c>
      <c r="U31" s="21" t="s">
        <v>547</v>
      </c>
      <c r="V31" s="4"/>
      <c r="W31" s="4"/>
      <c r="X31" s="131"/>
    </row>
    <row r="32" spans="2:24">
      <c r="B32" s="130" t="s">
        <v>399</v>
      </c>
      <c r="C32" s="4" t="s">
        <v>59</v>
      </c>
      <c r="D32" s="13">
        <v>6</v>
      </c>
      <c r="E32" s="13">
        <v>118</v>
      </c>
      <c r="F32" s="13">
        <v>46</v>
      </c>
      <c r="G32" s="13">
        <v>20</v>
      </c>
      <c r="H32" s="13">
        <v>0</v>
      </c>
      <c r="I32" s="13">
        <v>13</v>
      </c>
      <c r="J32" s="13">
        <v>39</v>
      </c>
      <c r="K32" s="142">
        <v>1128</v>
      </c>
      <c r="L32" s="142" t="s">
        <v>36</v>
      </c>
      <c r="M32" s="142">
        <v>934</v>
      </c>
      <c r="N32" s="13">
        <f>PRODUCT(F32*3+G32*2+H32+I32)</f>
        <v>191</v>
      </c>
      <c r="O32" s="140">
        <f t="shared" si="0"/>
        <v>0.55932203389830504</v>
      </c>
      <c r="Q32" s="21">
        <v>2021</v>
      </c>
      <c r="R32" s="4" t="s">
        <v>532</v>
      </c>
      <c r="S32" s="13">
        <v>17</v>
      </c>
      <c r="T32" s="13">
        <v>127</v>
      </c>
      <c r="U32" s="21" t="s">
        <v>548</v>
      </c>
      <c r="V32" s="4"/>
      <c r="W32" s="4"/>
      <c r="X32" s="131"/>
    </row>
    <row r="33" spans="2:24">
      <c r="B33" s="130" t="s">
        <v>400</v>
      </c>
      <c r="C33" s="4" t="s">
        <v>32</v>
      </c>
      <c r="D33" s="13">
        <v>9</v>
      </c>
      <c r="E33" s="13">
        <v>137</v>
      </c>
      <c r="F33" s="13">
        <v>40</v>
      </c>
      <c r="G33" s="13">
        <v>26</v>
      </c>
      <c r="H33" s="13">
        <v>0</v>
      </c>
      <c r="I33" s="13">
        <v>18</v>
      </c>
      <c r="J33" s="13">
        <v>53</v>
      </c>
      <c r="K33" s="142">
        <v>1324</v>
      </c>
      <c r="L33" s="142" t="s">
        <v>36</v>
      </c>
      <c r="M33" s="142">
        <v>1200</v>
      </c>
      <c r="N33" s="13">
        <v>190</v>
      </c>
      <c r="O33" s="140">
        <f t="shared" si="0"/>
        <v>0.48175182481751827</v>
      </c>
      <c r="Q33" s="21">
        <v>2022</v>
      </c>
      <c r="R33" s="4" t="s">
        <v>532</v>
      </c>
      <c r="S33" s="13">
        <v>17</v>
      </c>
      <c r="T33" s="13">
        <v>127</v>
      </c>
      <c r="U33" s="21" t="s">
        <v>548</v>
      </c>
      <c r="V33" s="4"/>
      <c r="W33" s="4"/>
      <c r="X33" s="131"/>
    </row>
    <row r="34" spans="2:24">
      <c r="B34" s="130" t="s">
        <v>401</v>
      </c>
      <c r="C34" s="4" t="s">
        <v>402</v>
      </c>
      <c r="D34" s="13">
        <v>8</v>
      </c>
      <c r="E34" s="13">
        <v>128</v>
      </c>
      <c r="F34" s="13">
        <v>34</v>
      </c>
      <c r="G34" s="13">
        <v>34</v>
      </c>
      <c r="H34" s="13">
        <v>0</v>
      </c>
      <c r="I34" s="13">
        <v>16</v>
      </c>
      <c r="J34" s="13">
        <v>44</v>
      </c>
      <c r="K34" s="142">
        <v>1095</v>
      </c>
      <c r="L34" s="142" t="s">
        <v>36</v>
      </c>
      <c r="M34" s="142">
        <v>1125</v>
      </c>
      <c r="N34" s="13">
        <v>186</v>
      </c>
      <c r="O34" s="140">
        <f t="shared" si="0"/>
        <v>0.53125</v>
      </c>
      <c r="Q34" s="21">
        <v>2023</v>
      </c>
      <c r="R34" s="4" t="s">
        <v>532</v>
      </c>
      <c r="S34" s="13">
        <v>16</v>
      </c>
      <c r="T34" s="13">
        <v>176</v>
      </c>
      <c r="U34" s="21" t="s">
        <v>549</v>
      </c>
      <c r="V34" s="4"/>
      <c r="W34" s="4"/>
      <c r="X34" s="131"/>
    </row>
    <row r="35" spans="2:24">
      <c r="B35" s="130" t="s">
        <v>403</v>
      </c>
      <c r="C35" s="4" t="s">
        <v>334</v>
      </c>
      <c r="D35" s="13">
        <v>8</v>
      </c>
      <c r="E35" s="13">
        <v>143</v>
      </c>
      <c r="F35" s="13">
        <v>35</v>
      </c>
      <c r="G35" s="13">
        <v>25</v>
      </c>
      <c r="H35" s="13">
        <v>0</v>
      </c>
      <c r="I35" s="13">
        <v>26</v>
      </c>
      <c r="J35" s="13">
        <v>57</v>
      </c>
      <c r="K35" s="142">
        <v>1276</v>
      </c>
      <c r="L35" s="142" t="s">
        <v>36</v>
      </c>
      <c r="M35" s="142">
        <v>1454</v>
      </c>
      <c r="N35" s="13">
        <f>PRODUCT(F35*3+G35*2+H35+I35)</f>
        <v>181</v>
      </c>
      <c r="O35" s="140">
        <f t="shared" si="0"/>
        <v>0.41958041958041958</v>
      </c>
      <c r="Q35" s="13"/>
      <c r="R35" s="13"/>
      <c r="S35" s="13"/>
      <c r="T35" s="13"/>
      <c r="V35" s="13"/>
    </row>
    <row r="36" spans="2:24">
      <c r="B36" s="130" t="s">
        <v>404</v>
      </c>
      <c r="C36" s="4" t="s">
        <v>405</v>
      </c>
      <c r="D36" s="13">
        <v>4</v>
      </c>
      <c r="E36" s="13">
        <v>82</v>
      </c>
      <c r="F36" s="13">
        <v>40</v>
      </c>
      <c r="G36" s="13">
        <v>17</v>
      </c>
      <c r="H36" s="13">
        <v>3</v>
      </c>
      <c r="I36" s="13">
        <v>8</v>
      </c>
      <c r="J36" s="13">
        <v>14</v>
      </c>
      <c r="K36" s="142">
        <v>982</v>
      </c>
      <c r="L36" s="142" t="s">
        <v>36</v>
      </c>
      <c r="M36" s="142">
        <v>540</v>
      </c>
      <c r="N36" s="13">
        <f>PRODUCT(F36*3+G36*2+H36+I36)</f>
        <v>165</v>
      </c>
      <c r="O36" s="140">
        <f t="shared" si="0"/>
        <v>0.69512195121951215</v>
      </c>
      <c r="Q36" s="13"/>
      <c r="R36" s="13"/>
      <c r="S36" s="13"/>
      <c r="T36" s="13"/>
      <c r="V36" s="13"/>
    </row>
    <row r="37" spans="2:24">
      <c r="B37" s="130" t="s">
        <v>406</v>
      </c>
      <c r="C37" s="4" t="s">
        <v>407</v>
      </c>
      <c r="D37" s="13">
        <v>8</v>
      </c>
      <c r="E37" s="13">
        <v>142</v>
      </c>
      <c r="F37" s="13">
        <v>12</v>
      </c>
      <c r="G37" s="13">
        <v>57</v>
      </c>
      <c r="H37" s="13">
        <v>6</v>
      </c>
      <c r="I37" s="13">
        <v>8</v>
      </c>
      <c r="J37" s="13">
        <v>59</v>
      </c>
      <c r="K37" s="142">
        <v>1348</v>
      </c>
      <c r="L37" s="142" t="s">
        <v>36</v>
      </c>
      <c r="M37" s="142">
        <v>1519</v>
      </c>
      <c r="N37" s="13">
        <f>PRODUCT(F37*3+G37*2+H37+I37)</f>
        <v>164</v>
      </c>
      <c r="O37" s="140">
        <f t="shared" si="0"/>
        <v>0.4859154929577465</v>
      </c>
      <c r="Q37" s="13"/>
      <c r="R37" s="13"/>
      <c r="S37" s="13"/>
      <c r="T37" s="13"/>
      <c r="V37" s="13"/>
    </row>
    <row r="38" spans="2:24">
      <c r="B38" s="130" t="s">
        <v>408</v>
      </c>
      <c r="C38" s="4" t="s">
        <v>107</v>
      </c>
      <c r="D38" s="13">
        <v>7</v>
      </c>
      <c r="E38" s="13">
        <v>108</v>
      </c>
      <c r="F38" s="13">
        <v>37</v>
      </c>
      <c r="G38" s="13">
        <v>20</v>
      </c>
      <c r="H38" s="13">
        <v>2</v>
      </c>
      <c r="I38" s="13">
        <v>9</v>
      </c>
      <c r="J38" s="13">
        <v>40</v>
      </c>
      <c r="K38" s="142">
        <v>1060</v>
      </c>
      <c r="L38" s="142" t="s">
        <v>36</v>
      </c>
      <c r="M38" s="142">
        <v>1039</v>
      </c>
      <c r="N38" s="13">
        <v>162</v>
      </c>
      <c r="O38" s="140">
        <f t="shared" si="0"/>
        <v>0.52777777777777779</v>
      </c>
      <c r="Q38" s="13"/>
      <c r="R38" s="13"/>
      <c r="S38" s="13"/>
      <c r="T38" s="13"/>
      <c r="V38" s="13"/>
    </row>
    <row r="39" spans="2:24">
      <c r="B39" s="130" t="s">
        <v>409</v>
      </c>
      <c r="C39" s="4" t="s">
        <v>80</v>
      </c>
      <c r="D39" s="13">
        <v>5</v>
      </c>
      <c r="E39" s="13">
        <v>72</v>
      </c>
      <c r="F39" s="13">
        <v>42</v>
      </c>
      <c r="G39" s="13">
        <v>12</v>
      </c>
      <c r="H39" s="13">
        <v>0</v>
      </c>
      <c r="I39" s="13">
        <v>8</v>
      </c>
      <c r="J39" s="13">
        <v>10</v>
      </c>
      <c r="K39" s="142">
        <v>970</v>
      </c>
      <c r="L39" s="142" t="s">
        <v>36</v>
      </c>
      <c r="M39" s="142">
        <v>490</v>
      </c>
      <c r="N39" s="13">
        <f>PRODUCT(F39*3+G39*2+H39+I39)</f>
        <v>158</v>
      </c>
      <c r="O39" s="140">
        <f t="shared" si="0"/>
        <v>0.75</v>
      </c>
      <c r="Q39" s="13"/>
      <c r="R39" s="13"/>
      <c r="S39" s="13"/>
      <c r="T39" s="13"/>
      <c r="V39" s="13"/>
    </row>
    <row r="40" spans="2:24">
      <c r="B40" s="130" t="s">
        <v>410</v>
      </c>
      <c r="C40" s="4" t="s">
        <v>411</v>
      </c>
      <c r="D40" s="13">
        <v>4</v>
      </c>
      <c r="E40" s="13">
        <v>78</v>
      </c>
      <c r="F40" s="13">
        <v>26</v>
      </c>
      <c r="G40" s="13">
        <v>32</v>
      </c>
      <c r="H40" s="13">
        <v>1</v>
      </c>
      <c r="I40" s="13">
        <v>1</v>
      </c>
      <c r="J40" s="13">
        <v>18</v>
      </c>
      <c r="K40" s="142">
        <v>1145</v>
      </c>
      <c r="L40" s="142" t="s">
        <v>36</v>
      </c>
      <c r="M40" s="142">
        <v>677</v>
      </c>
      <c r="N40" s="13">
        <f>PRODUCT(F40*3+G40*2+H40+I40)</f>
        <v>144</v>
      </c>
      <c r="O40" s="140">
        <f t="shared" si="0"/>
        <v>0.74358974358974361</v>
      </c>
      <c r="Q40" s="13"/>
      <c r="R40" s="13"/>
      <c r="S40" s="13"/>
      <c r="T40" s="13"/>
      <c r="V40" s="13"/>
    </row>
    <row r="41" spans="2:24">
      <c r="B41" s="130" t="s">
        <v>412</v>
      </c>
      <c r="C41" s="4" t="s">
        <v>413</v>
      </c>
      <c r="D41" s="13">
        <v>6</v>
      </c>
      <c r="E41" s="13">
        <v>112</v>
      </c>
      <c r="F41" s="13">
        <v>25</v>
      </c>
      <c r="G41" s="13">
        <v>26</v>
      </c>
      <c r="H41" s="13">
        <v>0</v>
      </c>
      <c r="I41" s="13">
        <v>12</v>
      </c>
      <c r="J41" s="13">
        <v>49</v>
      </c>
      <c r="K41" s="13">
        <v>870</v>
      </c>
      <c r="L41" s="142" t="s">
        <v>36</v>
      </c>
      <c r="M41" s="13">
        <v>1033</v>
      </c>
      <c r="N41" s="13">
        <v>139</v>
      </c>
      <c r="O41" s="140">
        <f t="shared" si="0"/>
        <v>0.45535714285714285</v>
      </c>
      <c r="Q41" s="13"/>
      <c r="R41" s="13"/>
      <c r="S41" s="13"/>
      <c r="T41" s="13"/>
      <c r="V41" s="13"/>
    </row>
    <row r="42" spans="2:24">
      <c r="B42" s="130" t="s">
        <v>414</v>
      </c>
      <c r="C42" s="4" t="s">
        <v>415</v>
      </c>
      <c r="D42" s="13">
        <v>6</v>
      </c>
      <c r="E42" s="13">
        <v>96</v>
      </c>
      <c r="F42" s="13">
        <v>32</v>
      </c>
      <c r="G42" s="13">
        <v>14</v>
      </c>
      <c r="H42" s="13">
        <v>0</v>
      </c>
      <c r="I42" s="13">
        <v>12</v>
      </c>
      <c r="J42" s="13">
        <v>38</v>
      </c>
      <c r="K42" s="142">
        <v>943</v>
      </c>
      <c r="L42" s="142" t="s">
        <v>36</v>
      </c>
      <c r="M42" s="142">
        <v>817</v>
      </c>
      <c r="N42" s="13">
        <f>PRODUCT(F42*3+G42*2+H42+I42)</f>
        <v>136</v>
      </c>
      <c r="O42" s="140">
        <f t="shared" si="0"/>
        <v>0.47916666666666669</v>
      </c>
      <c r="Q42" s="13"/>
      <c r="R42" s="13"/>
      <c r="S42" s="13"/>
      <c r="T42" s="13"/>
      <c r="V42" s="13"/>
    </row>
    <row r="43" spans="2:24">
      <c r="B43" s="130" t="s">
        <v>416</v>
      </c>
      <c r="C43" s="4" t="s">
        <v>417</v>
      </c>
      <c r="D43" s="13">
        <v>6</v>
      </c>
      <c r="E43" s="13">
        <v>108</v>
      </c>
      <c r="F43" s="13">
        <v>24</v>
      </c>
      <c r="G43" s="13">
        <v>24</v>
      </c>
      <c r="H43" s="13">
        <v>0</v>
      </c>
      <c r="I43" s="13">
        <v>13</v>
      </c>
      <c r="J43" s="13">
        <v>47</v>
      </c>
      <c r="K43" s="142">
        <v>866</v>
      </c>
      <c r="L43" s="142" t="s">
        <v>36</v>
      </c>
      <c r="M43" s="142">
        <v>952</v>
      </c>
      <c r="N43" s="13">
        <f>PRODUCT(F43*3+G43*2+H43+I43)</f>
        <v>133</v>
      </c>
      <c r="O43" s="140">
        <f t="shared" si="0"/>
        <v>0.44444444444444442</v>
      </c>
      <c r="Q43" s="13"/>
      <c r="R43" s="13"/>
      <c r="S43" s="13"/>
      <c r="T43" s="13"/>
      <c r="V43" s="13"/>
    </row>
    <row r="44" spans="2:24">
      <c r="B44" s="130" t="s">
        <v>418</v>
      </c>
      <c r="C44" s="134" t="s">
        <v>54</v>
      </c>
      <c r="D44" s="125">
        <v>5</v>
      </c>
      <c r="E44" s="125">
        <v>110</v>
      </c>
      <c r="F44" s="125">
        <v>18</v>
      </c>
      <c r="G44" s="125">
        <v>28</v>
      </c>
      <c r="H44" s="125">
        <v>0</v>
      </c>
      <c r="I44" s="125">
        <v>22</v>
      </c>
      <c r="J44" s="125">
        <v>42</v>
      </c>
      <c r="K44" s="143">
        <v>922</v>
      </c>
      <c r="L44" s="143" t="s">
        <v>36</v>
      </c>
      <c r="M44" s="143">
        <v>1048</v>
      </c>
      <c r="N44" s="125">
        <v>132</v>
      </c>
      <c r="O44" s="141">
        <f t="shared" si="0"/>
        <v>0.41818181818181815</v>
      </c>
      <c r="Q44" s="13"/>
      <c r="R44" s="13"/>
      <c r="S44" s="13"/>
      <c r="T44" s="13"/>
      <c r="V44" s="13"/>
    </row>
    <row r="45" spans="2:24">
      <c r="B45" s="130" t="s">
        <v>419</v>
      </c>
      <c r="C45" s="4" t="s">
        <v>420</v>
      </c>
      <c r="D45" s="13">
        <v>7</v>
      </c>
      <c r="E45" s="13">
        <v>132</v>
      </c>
      <c r="F45" s="13">
        <v>25</v>
      </c>
      <c r="G45" s="13">
        <v>19</v>
      </c>
      <c r="H45" s="13">
        <v>0</v>
      </c>
      <c r="I45" s="13">
        <v>16</v>
      </c>
      <c r="J45" s="13">
        <v>72</v>
      </c>
      <c r="K45" s="142">
        <v>1149</v>
      </c>
      <c r="L45" s="142" t="s">
        <v>36</v>
      </c>
      <c r="M45" s="142">
        <v>1718</v>
      </c>
      <c r="N45" s="13">
        <f>PRODUCT(F45*3+G45*2+H45+I45)</f>
        <v>129</v>
      </c>
      <c r="O45" s="140">
        <f t="shared" si="0"/>
        <v>0.33333333333333331</v>
      </c>
      <c r="Q45" s="13"/>
      <c r="R45" s="13"/>
      <c r="S45" s="13"/>
      <c r="T45" s="13"/>
      <c r="V45" s="13"/>
    </row>
    <row r="46" spans="2:24">
      <c r="B46" s="130" t="s">
        <v>421</v>
      </c>
      <c r="C46" s="4" t="s">
        <v>81</v>
      </c>
      <c r="D46" s="13">
        <v>7</v>
      </c>
      <c r="E46" s="13">
        <v>136</v>
      </c>
      <c r="F46" s="13">
        <v>16</v>
      </c>
      <c r="G46" s="13">
        <v>26</v>
      </c>
      <c r="H46" s="13">
        <v>0</v>
      </c>
      <c r="I46" s="13">
        <v>28</v>
      </c>
      <c r="J46" s="13">
        <v>66</v>
      </c>
      <c r="K46" s="13">
        <v>875</v>
      </c>
      <c r="L46" s="142" t="s">
        <v>36</v>
      </c>
      <c r="M46" s="13">
        <v>1294</v>
      </c>
      <c r="N46" s="13">
        <v>128</v>
      </c>
      <c r="O46" s="140">
        <f t="shared" si="0"/>
        <v>0.30882352941176472</v>
      </c>
      <c r="Q46" s="13"/>
      <c r="R46" s="13"/>
      <c r="S46" s="13"/>
      <c r="T46" s="13"/>
      <c r="V46" s="13"/>
    </row>
    <row r="47" spans="2:24">
      <c r="B47" s="130" t="s">
        <v>422</v>
      </c>
      <c r="C47" s="134" t="s">
        <v>341</v>
      </c>
      <c r="D47" s="125">
        <v>4</v>
      </c>
      <c r="E47" s="125">
        <v>70</v>
      </c>
      <c r="F47" s="125">
        <v>8</v>
      </c>
      <c r="G47" s="125">
        <v>38</v>
      </c>
      <c r="H47" s="125">
        <v>0</v>
      </c>
      <c r="I47" s="125">
        <v>9</v>
      </c>
      <c r="J47" s="125">
        <v>15</v>
      </c>
      <c r="K47" s="143">
        <v>806</v>
      </c>
      <c r="L47" s="143" t="s">
        <v>36</v>
      </c>
      <c r="M47" s="143">
        <v>382</v>
      </c>
      <c r="N47" s="125">
        <v>109</v>
      </c>
      <c r="O47" s="141">
        <f t="shared" si="0"/>
        <v>0.65714285714285714</v>
      </c>
      <c r="Q47" s="13"/>
      <c r="R47" s="13"/>
      <c r="S47" s="13"/>
      <c r="T47" s="13"/>
      <c r="V47" s="13"/>
    </row>
    <row r="48" spans="2:24">
      <c r="B48" s="130" t="s">
        <v>423</v>
      </c>
      <c r="C48" s="4" t="s">
        <v>424</v>
      </c>
      <c r="D48" s="13">
        <v>3</v>
      </c>
      <c r="E48" s="13">
        <v>61</v>
      </c>
      <c r="F48" s="13">
        <v>29</v>
      </c>
      <c r="G48" s="13">
        <v>5</v>
      </c>
      <c r="H48" s="13">
        <v>0</v>
      </c>
      <c r="I48" s="13">
        <v>10</v>
      </c>
      <c r="J48" s="13">
        <v>17</v>
      </c>
      <c r="K48" s="142">
        <v>712</v>
      </c>
      <c r="L48" s="142" t="s">
        <v>36</v>
      </c>
      <c r="M48" s="142">
        <v>452</v>
      </c>
      <c r="N48" s="13">
        <v>107</v>
      </c>
      <c r="O48" s="140">
        <f>PRODUCT((F48+G48)/E48)</f>
        <v>0.55737704918032782</v>
      </c>
      <c r="Q48" s="13"/>
      <c r="R48" s="13"/>
      <c r="S48" s="13"/>
      <c r="T48" s="13"/>
      <c r="V48" s="13"/>
    </row>
    <row r="49" spans="2:22">
      <c r="B49" s="130" t="s">
        <v>425</v>
      </c>
      <c r="C49" s="4" t="s">
        <v>175</v>
      </c>
      <c r="D49" s="13">
        <v>4</v>
      </c>
      <c r="E49" s="13">
        <v>74</v>
      </c>
      <c r="F49" s="13">
        <v>17</v>
      </c>
      <c r="G49" s="13">
        <v>24</v>
      </c>
      <c r="H49" s="13">
        <v>0</v>
      </c>
      <c r="I49" s="13">
        <v>8</v>
      </c>
      <c r="J49" s="13">
        <v>25</v>
      </c>
      <c r="K49" s="142">
        <v>623</v>
      </c>
      <c r="L49" s="142" t="s">
        <v>36</v>
      </c>
      <c r="M49" s="142">
        <v>605</v>
      </c>
      <c r="N49" s="13">
        <f>PRODUCT(F49*3+G49*2+H49+I49)</f>
        <v>107</v>
      </c>
      <c r="O49" s="140">
        <f>PRODUCT((F49+G49)/E49)</f>
        <v>0.55405405405405406</v>
      </c>
      <c r="Q49" s="13"/>
      <c r="R49" s="13"/>
      <c r="S49" s="13"/>
      <c r="T49" s="13"/>
      <c r="V49" s="13"/>
    </row>
    <row r="50" spans="2:22">
      <c r="B50" s="130" t="s">
        <v>426</v>
      </c>
      <c r="C50" s="4" t="s">
        <v>427</v>
      </c>
      <c r="D50" s="13">
        <v>4</v>
      </c>
      <c r="E50" s="13">
        <v>56</v>
      </c>
      <c r="F50" s="13">
        <v>31</v>
      </c>
      <c r="G50" s="13">
        <v>4</v>
      </c>
      <c r="H50" s="13">
        <v>0</v>
      </c>
      <c r="I50" s="13">
        <v>4</v>
      </c>
      <c r="J50" s="13">
        <v>17</v>
      </c>
      <c r="K50" s="142">
        <v>769</v>
      </c>
      <c r="L50" s="142" t="s">
        <v>36</v>
      </c>
      <c r="M50" s="142">
        <v>491</v>
      </c>
      <c r="N50" s="13">
        <f>PRODUCT(F50*3+G50*2+H50+I50)</f>
        <v>105</v>
      </c>
      <c r="O50" s="140">
        <f>PRODUCT((F50+G50)/E50)</f>
        <v>0.625</v>
      </c>
      <c r="Q50" s="13"/>
      <c r="R50" s="13"/>
      <c r="S50" s="13"/>
      <c r="T50" s="13"/>
      <c r="V50" s="13"/>
    </row>
    <row r="51" spans="2:22">
      <c r="B51" s="130" t="s">
        <v>428</v>
      </c>
      <c r="C51" s="4" t="s">
        <v>429</v>
      </c>
      <c r="D51" s="13">
        <v>4</v>
      </c>
      <c r="E51" s="13">
        <v>74</v>
      </c>
      <c r="F51" s="13">
        <v>17</v>
      </c>
      <c r="G51" s="13">
        <v>19</v>
      </c>
      <c r="H51" s="13">
        <v>0</v>
      </c>
      <c r="I51" s="13">
        <v>16</v>
      </c>
      <c r="J51" s="13">
        <v>22</v>
      </c>
      <c r="K51" s="142">
        <v>608</v>
      </c>
      <c r="L51" s="142" t="s">
        <v>36</v>
      </c>
      <c r="M51" s="142">
        <v>684</v>
      </c>
      <c r="N51" s="13">
        <f>PRODUCT(F51*3+G51*2+H51+I51)</f>
        <v>105</v>
      </c>
      <c r="O51" s="140">
        <f>PRODUCT((F51+G51)/E51)</f>
        <v>0.48648648648648651</v>
      </c>
      <c r="Q51" s="13"/>
      <c r="R51" s="13"/>
      <c r="S51" s="13"/>
      <c r="T51" s="13"/>
      <c r="V51" s="13"/>
    </row>
    <row r="52" spans="2:22">
      <c r="B52" s="130" t="s">
        <v>430</v>
      </c>
      <c r="C52" s="134" t="s">
        <v>28</v>
      </c>
      <c r="D52" s="125">
        <v>7</v>
      </c>
      <c r="E52" s="125">
        <v>128</v>
      </c>
      <c r="F52" s="125">
        <v>16</v>
      </c>
      <c r="G52" s="125">
        <v>16</v>
      </c>
      <c r="H52" s="125">
        <v>0</v>
      </c>
      <c r="I52" s="125">
        <v>24</v>
      </c>
      <c r="J52" s="125">
        <v>72</v>
      </c>
      <c r="K52" s="143">
        <v>741</v>
      </c>
      <c r="L52" s="143" t="s">
        <v>36</v>
      </c>
      <c r="M52" s="143">
        <v>1259</v>
      </c>
      <c r="N52" s="125">
        <v>104</v>
      </c>
      <c r="O52" s="141">
        <f>PRODUCT((F52+G52)/E52)</f>
        <v>0.25</v>
      </c>
      <c r="Q52" s="13"/>
      <c r="R52" s="13"/>
      <c r="S52" s="13"/>
      <c r="T52" s="13"/>
      <c r="V52" s="13"/>
    </row>
    <row r="53" spans="2:22">
      <c r="B53" s="130" t="s">
        <v>431</v>
      </c>
      <c r="C53" s="4" t="s">
        <v>183</v>
      </c>
      <c r="D53" s="13">
        <v>2</v>
      </c>
      <c r="E53" s="13">
        <v>44</v>
      </c>
      <c r="F53" s="13">
        <v>27</v>
      </c>
      <c r="G53" s="13">
        <v>4</v>
      </c>
      <c r="H53" s="13">
        <v>0</v>
      </c>
      <c r="I53" s="13">
        <v>7</v>
      </c>
      <c r="J53" s="13">
        <v>6</v>
      </c>
      <c r="K53" s="142">
        <v>597</v>
      </c>
      <c r="L53" s="142" t="s">
        <v>36</v>
      </c>
      <c r="M53" s="142">
        <v>283</v>
      </c>
      <c r="N53" s="13">
        <f t="shared" ref="N53:N57" si="1">PRODUCT(F53*3+G53*2+H53+I53)</f>
        <v>96</v>
      </c>
      <c r="O53" s="140">
        <f t="shared" si="0"/>
        <v>0.70454545454545459</v>
      </c>
      <c r="Q53" s="13"/>
      <c r="R53" s="13"/>
      <c r="S53" s="13"/>
      <c r="T53" s="13"/>
      <c r="V53" s="13"/>
    </row>
    <row r="54" spans="2:22">
      <c r="B54" s="130" t="s">
        <v>432</v>
      </c>
      <c r="C54" s="4" t="s">
        <v>433</v>
      </c>
      <c r="D54" s="13">
        <v>4</v>
      </c>
      <c r="E54" s="13">
        <v>48</v>
      </c>
      <c r="F54" s="13">
        <v>8</v>
      </c>
      <c r="G54" s="13">
        <v>31</v>
      </c>
      <c r="H54" s="13">
        <v>1</v>
      </c>
      <c r="I54" s="13">
        <v>2</v>
      </c>
      <c r="J54" s="13">
        <v>6</v>
      </c>
      <c r="K54" s="142">
        <v>626</v>
      </c>
      <c r="L54" s="142" t="s">
        <v>36</v>
      </c>
      <c r="M54" s="142">
        <v>301</v>
      </c>
      <c r="N54" s="13">
        <f t="shared" si="1"/>
        <v>89</v>
      </c>
      <c r="O54" s="140">
        <f t="shared" si="0"/>
        <v>0.8125</v>
      </c>
      <c r="Q54" s="13"/>
      <c r="R54" s="13"/>
      <c r="S54" s="13"/>
      <c r="T54" s="13"/>
      <c r="V54" s="13"/>
    </row>
    <row r="55" spans="2:22">
      <c r="B55" s="130" t="s">
        <v>434</v>
      </c>
      <c r="C55" s="4" t="s">
        <v>133</v>
      </c>
      <c r="D55" s="13">
        <v>6</v>
      </c>
      <c r="E55" s="13">
        <v>91</v>
      </c>
      <c r="F55" s="13">
        <v>15</v>
      </c>
      <c r="G55" s="13">
        <v>16</v>
      </c>
      <c r="H55" s="13">
        <v>0</v>
      </c>
      <c r="I55" s="13">
        <v>10</v>
      </c>
      <c r="J55" s="13">
        <v>50</v>
      </c>
      <c r="K55" s="142">
        <v>791</v>
      </c>
      <c r="L55" s="142" t="s">
        <v>36</v>
      </c>
      <c r="M55" s="142">
        <v>1222</v>
      </c>
      <c r="N55" s="13">
        <f t="shared" si="1"/>
        <v>87</v>
      </c>
      <c r="O55" s="140">
        <f t="shared" si="0"/>
        <v>0.34065934065934067</v>
      </c>
      <c r="Q55" s="13"/>
      <c r="R55" s="13"/>
      <c r="S55" s="13"/>
      <c r="T55" s="13"/>
      <c r="V55" s="13"/>
    </row>
    <row r="56" spans="2:22">
      <c r="B56" s="130" t="s">
        <v>435</v>
      </c>
      <c r="C56" s="4" t="s">
        <v>90</v>
      </c>
      <c r="D56" s="13">
        <v>3</v>
      </c>
      <c r="E56" s="13">
        <v>44</v>
      </c>
      <c r="F56" s="13">
        <v>19</v>
      </c>
      <c r="G56" s="13">
        <v>9</v>
      </c>
      <c r="H56" s="13">
        <v>0</v>
      </c>
      <c r="I56" s="13">
        <v>2</v>
      </c>
      <c r="J56" s="13">
        <v>14</v>
      </c>
      <c r="K56" s="142">
        <v>586</v>
      </c>
      <c r="L56" s="142" t="s">
        <v>36</v>
      </c>
      <c r="M56" s="142">
        <v>353</v>
      </c>
      <c r="N56" s="13">
        <f t="shared" si="1"/>
        <v>77</v>
      </c>
      <c r="O56" s="140">
        <f t="shared" si="0"/>
        <v>0.63636363636363635</v>
      </c>
      <c r="Q56" s="13"/>
      <c r="R56" s="13"/>
      <c r="S56" s="13"/>
      <c r="T56" s="13"/>
      <c r="V56" s="13"/>
    </row>
    <row r="57" spans="2:22">
      <c r="B57" s="130" t="s">
        <v>436</v>
      </c>
      <c r="C57" s="4" t="s">
        <v>437</v>
      </c>
      <c r="D57" s="13">
        <v>2</v>
      </c>
      <c r="E57" s="13">
        <v>28</v>
      </c>
      <c r="F57" s="13">
        <v>22</v>
      </c>
      <c r="G57" s="13">
        <v>5</v>
      </c>
      <c r="H57" s="13">
        <v>0</v>
      </c>
      <c r="I57" s="13">
        <v>0</v>
      </c>
      <c r="J57" s="13">
        <v>1</v>
      </c>
      <c r="K57" s="142">
        <v>712</v>
      </c>
      <c r="L57" s="142" t="s">
        <v>36</v>
      </c>
      <c r="M57" s="142">
        <v>172</v>
      </c>
      <c r="N57" s="13">
        <f t="shared" si="1"/>
        <v>76</v>
      </c>
      <c r="O57" s="140">
        <f t="shared" si="0"/>
        <v>0.9642857142857143</v>
      </c>
      <c r="Q57" s="13"/>
      <c r="R57" s="13"/>
      <c r="S57" s="13"/>
      <c r="T57" s="13"/>
      <c r="V57" s="13"/>
    </row>
    <row r="58" spans="2:22">
      <c r="B58" s="130" t="s">
        <v>438</v>
      </c>
      <c r="C58" s="4" t="s">
        <v>439</v>
      </c>
      <c r="D58" s="13">
        <v>4</v>
      </c>
      <c r="E58" s="13">
        <v>56</v>
      </c>
      <c r="F58" s="13">
        <v>7</v>
      </c>
      <c r="G58" s="13">
        <v>24</v>
      </c>
      <c r="H58" s="13">
        <v>1</v>
      </c>
      <c r="I58" s="13">
        <v>6</v>
      </c>
      <c r="J58" s="13">
        <v>18</v>
      </c>
      <c r="K58" s="142">
        <v>719</v>
      </c>
      <c r="L58" s="142" t="s">
        <v>36</v>
      </c>
      <c r="M58" s="142">
        <v>560</v>
      </c>
      <c r="N58" s="13">
        <v>76</v>
      </c>
      <c r="O58" s="140">
        <f t="shared" si="0"/>
        <v>0.5535714285714286</v>
      </c>
      <c r="Q58" s="13"/>
      <c r="R58" s="13"/>
      <c r="S58" s="13"/>
      <c r="T58" s="13"/>
      <c r="V58" s="13"/>
    </row>
    <row r="59" spans="2:22">
      <c r="B59" s="130" t="s">
        <v>440</v>
      </c>
      <c r="C59" s="4" t="s">
        <v>441</v>
      </c>
      <c r="D59" s="13">
        <v>7</v>
      </c>
      <c r="E59" s="13">
        <v>92</v>
      </c>
      <c r="F59" s="13">
        <v>0</v>
      </c>
      <c r="G59" s="13">
        <v>37</v>
      </c>
      <c r="H59" s="13">
        <v>1</v>
      </c>
      <c r="I59" s="13">
        <v>0</v>
      </c>
      <c r="J59" s="13">
        <v>54</v>
      </c>
      <c r="K59" s="142">
        <v>982</v>
      </c>
      <c r="L59" s="142" t="s">
        <v>36</v>
      </c>
      <c r="M59" s="142">
        <v>1476</v>
      </c>
      <c r="N59" s="13">
        <f>PRODUCT(F59*3+G59*2+H59+I59)</f>
        <v>75</v>
      </c>
      <c r="O59" s="140">
        <f t="shared" si="0"/>
        <v>0.40217391304347827</v>
      </c>
      <c r="Q59" s="13"/>
      <c r="R59" s="13"/>
      <c r="S59" s="13"/>
      <c r="T59" s="13"/>
      <c r="V59" s="13"/>
    </row>
    <row r="60" spans="2:22">
      <c r="B60" s="130" t="s">
        <v>442</v>
      </c>
      <c r="C60" s="4" t="s">
        <v>60</v>
      </c>
      <c r="D60" s="13">
        <v>3</v>
      </c>
      <c r="E60" s="13">
        <v>42</v>
      </c>
      <c r="F60" s="13">
        <v>16</v>
      </c>
      <c r="G60" s="13">
        <v>8</v>
      </c>
      <c r="H60" s="13">
        <v>0</v>
      </c>
      <c r="I60" s="13">
        <v>8</v>
      </c>
      <c r="J60" s="13">
        <v>10</v>
      </c>
      <c r="K60" s="142">
        <v>565</v>
      </c>
      <c r="L60" s="142" t="s">
        <v>36</v>
      </c>
      <c r="M60" s="142">
        <v>434</v>
      </c>
      <c r="N60" s="13">
        <f>PRODUCT(F60*3+G60*2+H60+I60)</f>
        <v>72</v>
      </c>
      <c r="O60" s="140">
        <f t="shared" si="0"/>
        <v>0.5714285714285714</v>
      </c>
      <c r="Q60" s="13"/>
      <c r="R60" s="13"/>
      <c r="S60" s="13"/>
      <c r="T60" s="13"/>
      <c r="V60" s="13"/>
    </row>
    <row r="61" spans="2:22">
      <c r="B61" s="130" t="s">
        <v>443</v>
      </c>
      <c r="C61" s="4" t="s">
        <v>55</v>
      </c>
      <c r="D61" s="13">
        <v>6</v>
      </c>
      <c r="E61" s="13">
        <v>108</v>
      </c>
      <c r="F61" s="13">
        <v>9</v>
      </c>
      <c r="G61" s="13">
        <v>15</v>
      </c>
      <c r="H61" s="13">
        <v>1</v>
      </c>
      <c r="I61" s="13">
        <v>12</v>
      </c>
      <c r="J61" s="13">
        <v>71</v>
      </c>
      <c r="K61" s="142">
        <v>691</v>
      </c>
      <c r="L61" s="142" t="s">
        <v>36</v>
      </c>
      <c r="M61" s="142">
        <v>1308</v>
      </c>
      <c r="N61" s="13">
        <v>70</v>
      </c>
      <c r="O61" s="140">
        <f t="shared" si="0"/>
        <v>0.22222222222222221</v>
      </c>
      <c r="Q61" s="13"/>
      <c r="R61" s="13"/>
      <c r="S61" s="13"/>
      <c r="T61" s="13"/>
      <c r="V61" s="13"/>
    </row>
    <row r="62" spans="2:22">
      <c r="B62" s="130" t="s">
        <v>444</v>
      </c>
      <c r="C62" s="4" t="s">
        <v>445</v>
      </c>
      <c r="D62" s="13">
        <v>4</v>
      </c>
      <c r="E62" s="13">
        <v>58</v>
      </c>
      <c r="F62" s="13">
        <v>3</v>
      </c>
      <c r="G62" s="13">
        <v>26</v>
      </c>
      <c r="H62" s="13">
        <v>3</v>
      </c>
      <c r="I62" s="13">
        <v>4</v>
      </c>
      <c r="J62" s="13">
        <v>22</v>
      </c>
      <c r="K62" s="142">
        <v>498</v>
      </c>
      <c r="L62" s="142" t="s">
        <v>36</v>
      </c>
      <c r="M62" s="142">
        <v>516</v>
      </c>
      <c r="N62" s="13">
        <f>PRODUCT(F62*3+G62*2+H62+I62)</f>
        <v>68</v>
      </c>
      <c r="O62" s="140">
        <f t="shared" si="0"/>
        <v>0.5</v>
      </c>
      <c r="Q62" s="13"/>
      <c r="R62" s="13"/>
      <c r="S62" s="13"/>
      <c r="T62" s="13"/>
      <c r="V62" s="13"/>
    </row>
    <row r="63" spans="2:22">
      <c r="B63" s="130" t="s">
        <v>446</v>
      </c>
      <c r="C63" s="4" t="s">
        <v>447</v>
      </c>
      <c r="D63" s="13">
        <v>4</v>
      </c>
      <c r="E63" s="13">
        <v>67</v>
      </c>
      <c r="F63" s="13">
        <v>10</v>
      </c>
      <c r="G63" s="13">
        <v>13</v>
      </c>
      <c r="H63" s="13">
        <v>3</v>
      </c>
      <c r="I63" s="13">
        <v>8</v>
      </c>
      <c r="J63" s="13">
        <v>33</v>
      </c>
      <c r="K63" s="142">
        <v>608</v>
      </c>
      <c r="L63" s="142" t="s">
        <v>36</v>
      </c>
      <c r="M63" s="142">
        <v>748</v>
      </c>
      <c r="N63" s="13">
        <f>PRODUCT(F63*3+G63*2+H63+I63)</f>
        <v>67</v>
      </c>
      <c r="O63" s="140">
        <f t="shared" si="0"/>
        <v>0.34328358208955223</v>
      </c>
      <c r="Q63" s="13"/>
      <c r="R63" s="13"/>
      <c r="S63" s="13"/>
      <c r="T63" s="13"/>
      <c r="V63" s="13"/>
    </row>
    <row r="64" spans="2:22">
      <c r="B64" s="130" t="s">
        <v>448</v>
      </c>
      <c r="C64" s="4" t="s">
        <v>349</v>
      </c>
      <c r="D64" s="13">
        <v>4</v>
      </c>
      <c r="E64" s="13">
        <v>72</v>
      </c>
      <c r="F64" s="13">
        <v>10</v>
      </c>
      <c r="G64" s="13">
        <v>12</v>
      </c>
      <c r="H64" s="13">
        <v>0</v>
      </c>
      <c r="I64" s="13">
        <v>10</v>
      </c>
      <c r="J64" s="13">
        <v>40</v>
      </c>
      <c r="K64" s="142">
        <v>565</v>
      </c>
      <c r="L64" s="142" t="s">
        <v>36</v>
      </c>
      <c r="M64" s="142">
        <v>745</v>
      </c>
      <c r="N64" s="13">
        <v>64</v>
      </c>
      <c r="O64" s="140">
        <f t="shared" si="0"/>
        <v>0.30555555555555558</v>
      </c>
      <c r="Q64" s="13"/>
      <c r="R64" s="13"/>
      <c r="S64" s="13"/>
      <c r="T64" s="13"/>
      <c r="V64" s="13"/>
    </row>
    <row r="65" spans="2:24">
      <c r="B65" s="130" t="s">
        <v>449</v>
      </c>
      <c r="C65" s="4" t="s">
        <v>450</v>
      </c>
      <c r="D65" s="13">
        <v>5</v>
      </c>
      <c r="E65" s="13">
        <v>68</v>
      </c>
      <c r="F65" s="13">
        <v>2</v>
      </c>
      <c r="G65" s="13">
        <v>28</v>
      </c>
      <c r="H65" s="13">
        <v>1</v>
      </c>
      <c r="I65" s="13">
        <v>0</v>
      </c>
      <c r="J65" s="13">
        <v>37</v>
      </c>
      <c r="K65" s="142">
        <v>559</v>
      </c>
      <c r="L65" s="142" t="s">
        <v>36</v>
      </c>
      <c r="M65" s="142">
        <v>695</v>
      </c>
      <c r="N65" s="13">
        <f t="shared" ref="N65:N70" si="2">PRODUCT(F65*3+G65*2+H65+I65)</f>
        <v>63</v>
      </c>
      <c r="O65" s="140">
        <f t="shared" si="0"/>
        <v>0.44117647058823528</v>
      </c>
      <c r="Q65" s="13"/>
      <c r="R65" s="13"/>
      <c r="S65" s="13"/>
      <c r="T65" s="13"/>
      <c r="V65" s="13"/>
    </row>
    <row r="66" spans="2:24">
      <c r="B66" s="130" t="s">
        <v>451</v>
      </c>
      <c r="C66" s="134" t="s">
        <v>57</v>
      </c>
      <c r="D66" s="125">
        <v>3</v>
      </c>
      <c r="E66" s="125">
        <v>66</v>
      </c>
      <c r="F66" s="125">
        <v>14</v>
      </c>
      <c r="G66" s="125">
        <v>4</v>
      </c>
      <c r="H66" s="125">
        <v>0</v>
      </c>
      <c r="I66" s="125">
        <v>12</v>
      </c>
      <c r="J66" s="125">
        <v>36</v>
      </c>
      <c r="K66" s="143">
        <v>616</v>
      </c>
      <c r="L66" s="143" t="s">
        <v>36</v>
      </c>
      <c r="M66" s="143">
        <v>908</v>
      </c>
      <c r="N66" s="125">
        <f t="shared" si="2"/>
        <v>62</v>
      </c>
      <c r="O66" s="141">
        <f t="shared" si="0"/>
        <v>0.27272727272727271</v>
      </c>
      <c r="Q66" s="13"/>
      <c r="R66" s="13"/>
      <c r="S66" s="13"/>
      <c r="T66" s="13"/>
      <c r="V66" s="13"/>
    </row>
    <row r="67" spans="2:24">
      <c r="B67" s="130" t="s">
        <v>452</v>
      </c>
      <c r="C67" s="4" t="s">
        <v>304</v>
      </c>
      <c r="D67" s="13">
        <v>7</v>
      </c>
      <c r="E67" s="13">
        <v>92</v>
      </c>
      <c r="F67" s="13">
        <v>4</v>
      </c>
      <c r="G67" s="13">
        <v>19</v>
      </c>
      <c r="H67" s="13">
        <v>8</v>
      </c>
      <c r="I67" s="13">
        <v>3</v>
      </c>
      <c r="J67" s="13">
        <v>58</v>
      </c>
      <c r="K67" s="142">
        <v>673</v>
      </c>
      <c r="L67" s="142" t="s">
        <v>36</v>
      </c>
      <c r="M67" s="142">
        <v>1209</v>
      </c>
      <c r="N67" s="13">
        <f t="shared" si="2"/>
        <v>61</v>
      </c>
      <c r="O67" s="140">
        <f t="shared" ref="O67:O104" si="3">PRODUCT((F67+G67)/E67)</f>
        <v>0.25</v>
      </c>
      <c r="Q67" s="13"/>
      <c r="R67" s="13"/>
      <c r="S67" s="13"/>
      <c r="T67" s="13"/>
      <c r="V67" s="13"/>
    </row>
    <row r="68" spans="2:24">
      <c r="B68" s="130" t="s">
        <v>453</v>
      </c>
      <c r="C68" s="4" t="s">
        <v>66</v>
      </c>
      <c r="D68" s="13">
        <v>2</v>
      </c>
      <c r="E68" s="13">
        <v>28</v>
      </c>
      <c r="F68" s="13">
        <v>15</v>
      </c>
      <c r="G68" s="13">
        <v>5</v>
      </c>
      <c r="H68" s="13">
        <v>0</v>
      </c>
      <c r="I68" s="13">
        <v>2</v>
      </c>
      <c r="J68" s="13">
        <v>6</v>
      </c>
      <c r="K68" s="142">
        <v>374</v>
      </c>
      <c r="L68" s="142" t="s">
        <v>36</v>
      </c>
      <c r="M68" s="142">
        <v>180</v>
      </c>
      <c r="N68" s="13">
        <f t="shared" si="2"/>
        <v>57</v>
      </c>
      <c r="O68" s="140">
        <f t="shared" si="3"/>
        <v>0.7142857142857143</v>
      </c>
      <c r="Q68" s="13"/>
      <c r="R68" s="13"/>
      <c r="S68" s="13"/>
      <c r="T68" s="13"/>
      <c r="V68" s="13"/>
    </row>
    <row r="69" spans="2:24">
      <c r="B69" s="130" t="s">
        <v>454</v>
      </c>
      <c r="C69" s="4" t="s">
        <v>455</v>
      </c>
      <c r="D69" s="13">
        <v>3</v>
      </c>
      <c r="E69" s="13">
        <v>44</v>
      </c>
      <c r="F69" s="13">
        <v>8</v>
      </c>
      <c r="G69" s="13">
        <v>12</v>
      </c>
      <c r="H69" s="13">
        <v>0</v>
      </c>
      <c r="I69" s="13">
        <v>8</v>
      </c>
      <c r="J69" s="13">
        <v>16</v>
      </c>
      <c r="K69" s="142">
        <v>430</v>
      </c>
      <c r="L69" s="142" t="s">
        <v>36</v>
      </c>
      <c r="M69" s="142">
        <v>451</v>
      </c>
      <c r="N69" s="13">
        <f t="shared" si="2"/>
        <v>56</v>
      </c>
      <c r="O69" s="140">
        <f t="shared" si="3"/>
        <v>0.45454545454545453</v>
      </c>
      <c r="Q69" s="4"/>
      <c r="R69" s="4"/>
      <c r="S69" s="4"/>
      <c r="T69" s="4"/>
      <c r="U69" s="4"/>
      <c r="V69" s="4"/>
      <c r="W69" s="4"/>
      <c r="X69" s="4"/>
    </row>
    <row r="70" spans="2:24">
      <c r="B70" s="130" t="s">
        <v>456</v>
      </c>
      <c r="C70" s="4" t="s">
        <v>457</v>
      </c>
      <c r="D70" s="13">
        <v>2</v>
      </c>
      <c r="E70" s="13">
        <v>26</v>
      </c>
      <c r="F70" s="13">
        <v>13</v>
      </c>
      <c r="G70" s="13">
        <v>5</v>
      </c>
      <c r="H70" s="13">
        <v>0</v>
      </c>
      <c r="I70" s="13">
        <v>3</v>
      </c>
      <c r="J70" s="13">
        <v>5</v>
      </c>
      <c r="K70" s="142">
        <v>311</v>
      </c>
      <c r="L70" s="142" t="s">
        <v>36</v>
      </c>
      <c r="M70" s="142">
        <v>162</v>
      </c>
      <c r="N70" s="13">
        <f t="shared" si="2"/>
        <v>52</v>
      </c>
      <c r="O70" s="140">
        <f t="shared" si="3"/>
        <v>0.69230769230769229</v>
      </c>
      <c r="Q70" s="4"/>
      <c r="R70" s="4"/>
      <c r="S70" s="4"/>
      <c r="T70" s="4"/>
      <c r="U70" s="4"/>
      <c r="V70" s="4"/>
      <c r="W70" s="4"/>
      <c r="X70" s="4"/>
    </row>
    <row r="71" spans="2:24">
      <c r="B71" s="130" t="s">
        <v>458</v>
      </c>
      <c r="C71" s="4" t="s">
        <v>93</v>
      </c>
      <c r="D71" s="13">
        <v>6</v>
      </c>
      <c r="E71" s="13">
        <v>86</v>
      </c>
      <c r="F71" s="13">
        <v>8</v>
      </c>
      <c r="G71" s="13">
        <v>12</v>
      </c>
      <c r="H71" s="13">
        <v>0</v>
      </c>
      <c r="I71" s="13">
        <v>10</v>
      </c>
      <c r="J71" s="13">
        <v>56</v>
      </c>
      <c r="K71" s="142">
        <v>473</v>
      </c>
      <c r="L71" s="142" t="s">
        <v>36</v>
      </c>
      <c r="M71" s="142">
        <v>1109</v>
      </c>
      <c r="N71" s="13">
        <f>PRODUCT(F71*3+G71*2+H71+I71)-6</f>
        <v>52</v>
      </c>
      <c r="O71" s="140">
        <f t="shared" si="3"/>
        <v>0.23255813953488372</v>
      </c>
      <c r="Q71" s="4"/>
      <c r="R71" s="4"/>
      <c r="S71" s="4"/>
      <c r="T71" s="4"/>
      <c r="U71" s="4"/>
      <c r="V71" s="4"/>
      <c r="W71" s="4"/>
      <c r="X71" s="4"/>
    </row>
    <row r="72" spans="2:24">
      <c r="B72" s="130" t="s">
        <v>459</v>
      </c>
      <c r="C72" s="4" t="s">
        <v>460</v>
      </c>
      <c r="D72" s="13">
        <v>3</v>
      </c>
      <c r="E72" s="13">
        <v>42</v>
      </c>
      <c r="F72" s="13">
        <v>10</v>
      </c>
      <c r="G72" s="13">
        <v>8</v>
      </c>
      <c r="H72" s="13">
        <v>0</v>
      </c>
      <c r="I72" s="13">
        <v>4</v>
      </c>
      <c r="J72" s="13">
        <v>20</v>
      </c>
      <c r="K72" s="142">
        <v>350</v>
      </c>
      <c r="L72" s="142" t="s">
        <v>36</v>
      </c>
      <c r="M72" s="142">
        <v>449</v>
      </c>
      <c r="N72" s="13">
        <f>PRODUCT(F72*3+G72*2+H72+I72)</f>
        <v>50</v>
      </c>
      <c r="O72" s="140">
        <f t="shared" si="3"/>
        <v>0.42857142857142855</v>
      </c>
      <c r="Q72" s="4"/>
      <c r="R72" s="4"/>
      <c r="S72" s="4"/>
      <c r="T72" s="4"/>
      <c r="U72" s="4"/>
      <c r="V72" s="4"/>
      <c r="W72" s="4"/>
      <c r="X72" s="4"/>
    </row>
    <row r="73" spans="2:24">
      <c r="B73" s="130" t="s">
        <v>461</v>
      </c>
      <c r="C73" s="4" t="s">
        <v>462</v>
      </c>
      <c r="D73" s="13">
        <v>1</v>
      </c>
      <c r="E73" s="13">
        <v>18</v>
      </c>
      <c r="F73" s="13">
        <v>13</v>
      </c>
      <c r="G73" s="13">
        <v>4</v>
      </c>
      <c r="H73" s="13">
        <v>0</v>
      </c>
      <c r="I73" s="13">
        <v>1</v>
      </c>
      <c r="J73" s="13">
        <v>0</v>
      </c>
      <c r="K73" s="13">
        <v>249</v>
      </c>
      <c r="L73" s="142" t="s">
        <v>36</v>
      </c>
      <c r="M73" s="13">
        <v>78</v>
      </c>
      <c r="N73" s="13">
        <f>PRODUCT(F73*3+G73*2+H73+I73)</f>
        <v>48</v>
      </c>
      <c r="O73" s="140">
        <f t="shared" si="3"/>
        <v>0.94444444444444442</v>
      </c>
      <c r="Q73" s="4"/>
      <c r="R73" s="4"/>
      <c r="S73" s="4"/>
      <c r="T73" s="4"/>
      <c r="U73" s="4"/>
      <c r="V73" s="4"/>
      <c r="W73" s="4"/>
      <c r="X73" s="4"/>
    </row>
    <row r="74" spans="2:24">
      <c r="B74" s="130" t="s">
        <v>463</v>
      </c>
      <c r="C74" s="4" t="s">
        <v>464</v>
      </c>
      <c r="D74" s="13">
        <v>2</v>
      </c>
      <c r="E74" s="13">
        <v>34</v>
      </c>
      <c r="F74" s="13">
        <v>11</v>
      </c>
      <c r="G74" s="13">
        <v>3</v>
      </c>
      <c r="H74" s="13">
        <v>0</v>
      </c>
      <c r="I74" s="13">
        <v>8</v>
      </c>
      <c r="J74" s="13">
        <v>12</v>
      </c>
      <c r="K74" s="142">
        <v>271</v>
      </c>
      <c r="L74" s="142" t="s">
        <v>36</v>
      </c>
      <c r="M74" s="142">
        <v>282</v>
      </c>
      <c r="N74" s="13">
        <f>PRODUCT(F74*3+G74*2+H74+I74)</f>
        <v>47</v>
      </c>
      <c r="O74" s="140">
        <f t="shared" si="3"/>
        <v>0.41176470588235292</v>
      </c>
      <c r="Q74" s="4"/>
      <c r="R74" s="4"/>
      <c r="S74" s="4"/>
      <c r="T74" s="4"/>
      <c r="U74" s="4"/>
      <c r="V74" s="4"/>
      <c r="W74" s="4"/>
      <c r="X74" s="4"/>
    </row>
    <row r="75" spans="2:24">
      <c r="B75" s="130" t="s">
        <v>465</v>
      </c>
      <c r="C75" s="4" t="s">
        <v>466</v>
      </c>
      <c r="D75" s="13">
        <v>5</v>
      </c>
      <c r="E75" s="13">
        <v>62</v>
      </c>
      <c r="F75" s="13">
        <v>0</v>
      </c>
      <c r="G75" s="13">
        <v>23</v>
      </c>
      <c r="H75" s="13">
        <v>1</v>
      </c>
      <c r="I75" s="13">
        <v>0</v>
      </c>
      <c r="J75" s="13">
        <v>38</v>
      </c>
      <c r="K75" s="142">
        <v>511</v>
      </c>
      <c r="L75" s="142" t="s">
        <v>36</v>
      </c>
      <c r="M75" s="142">
        <v>621</v>
      </c>
      <c r="N75" s="13">
        <f>PRODUCT(F75*3+G75*2+H75+I75)</f>
        <v>47</v>
      </c>
      <c r="O75" s="140">
        <f t="shared" si="3"/>
        <v>0.37096774193548387</v>
      </c>
      <c r="Q75" s="4"/>
      <c r="R75" s="4"/>
      <c r="S75" s="4"/>
      <c r="T75" s="4"/>
      <c r="U75" s="4"/>
      <c r="V75" s="4"/>
      <c r="W75" s="4"/>
      <c r="X75" s="4"/>
    </row>
    <row r="76" spans="2:24">
      <c r="B76" s="130" t="s">
        <v>467</v>
      </c>
      <c r="C76" s="4" t="s">
        <v>305</v>
      </c>
      <c r="D76" s="13">
        <v>3</v>
      </c>
      <c r="E76" s="13">
        <v>52</v>
      </c>
      <c r="F76" s="13">
        <v>5</v>
      </c>
      <c r="G76" s="13">
        <v>12</v>
      </c>
      <c r="H76" s="13">
        <v>0</v>
      </c>
      <c r="I76" s="13">
        <v>8</v>
      </c>
      <c r="J76" s="13">
        <v>27</v>
      </c>
      <c r="K76" s="142">
        <v>357</v>
      </c>
      <c r="L76" s="142" t="s">
        <v>36</v>
      </c>
      <c r="M76" s="142">
        <v>522</v>
      </c>
      <c r="N76" s="13">
        <v>47</v>
      </c>
      <c r="O76" s="140">
        <f t="shared" si="3"/>
        <v>0.32692307692307693</v>
      </c>
      <c r="Q76" s="4"/>
      <c r="R76" s="4"/>
      <c r="S76" s="4"/>
      <c r="T76" s="4"/>
      <c r="U76" s="4"/>
      <c r="V76" s="4"/>
      <c r="W76" s="4"/>
      <c r="X76" s="4"/>
    </row>
    <row r="77" spans="2:24">
      <c r="B77" s="130" t="s">
        <v>468</v>
      </c>
      <c r="C77" s="134" t="s">
        <v>265</v>
      </c>
      <c r="D77" s="125">
        <v>2</v>
      </c>
      <c r="E77" s="125">
        <v>42</v>
      </c>
      <c r="F77" s="125">
        <v>9</v>
      </c>
      <c r="G77" s="125">
        <v>6</v>
      </c>
      <c r="H77" s="125">
        <v>0</v>
      </c>
      <c r="I77" s="125">
        <v>7</v>
      </c>
      <c r="J77" s="125">
        <v>20</v>
      </c>
      <c r="K77" s="143">
        <v>369</v>
      </c>
      <c r="L77" s="143" t="s">
        <v>36</v>
      </c>
      <c r="M77" s="143">
        <v>481</v>
      </c>
      <c r="N77" s="125">
        <f>PRODUCT(F77*3+G77*2+H77+I77)</f>
        <v>46</v>
      </c>
      <c r="O77" s="141">
        <f t="shared" si="3"/>
        <v>0.35714285714285715</v>
      </c>
      <c r="Q77" s="4"/>
      <c r="R77" s="4"/>
      <c r="S77" s="4"/>
      <c r="T77" s="4"/>
      <c r="U77" s="4"/>
      <c r="V77" s="4"/>
      <c r="W77" s="4"/>
      <c r="X77" s="4"/>
    </row>
    <row r="78" spans="2:24">
      <c r="B78" s="130" t="s">
        <v>469</v>
      </c>
      <c r="C78" s="4" t="s">
        <v>470</v>
      </c>
      <c r="D78" s="13">
        <v>3</v>
      </c>
      <c r="E78" s="13">
        <v>56</v>
      </c>
      <c r="F78" s="13">
        <v>8</v>
      </c>
      <c r="G78" s="13">
        <v>7</v>
      </c>
      <c r="H78" s="13">
        <v>0</v>
      </c>
      <c r="I78" s="13">
        <v>6</v>
      </c>
      <c r="J78" s="13">
        <v>35</v>
      </c>
      <c r="K78" s="142">
        <v>411</v>
      </c>
      <c r="L78" s="142" t="s">
        <v>36</v>
      </c>
      <c r="M78" s="142">
        <v>821</v>
      </c>
      <c r="N78" s="13">
        <f>PRODUCT(F78*3+G78*2+H78+I78)</f>
        <v>44</v>
      </c>
      <c r="O78" s="140">
        <f t="shared" si="3"/>
        <v>0.26785714285714285</v>
      </c>
      <c r="Q78" s="4"/>
      <c r="R78" s="4"/>
      <c r="S78" s="4"/>
      <c r="T78" s="4"/>
      <c r="U78" s="4"/>
      <c r="V78" s="4"/>
      <c r="W78" s="4"/>
      <c r="X78" s="4"/>
    </row>
    <row r="79" spans="2:24">
      <c r="B79" s="130" t="s">
        <v>471</v>
      </c>
      <c r="C79" s="4" t="s">
        <v>472</v>
      </c>
      <c r="D79" s="13">
        <v>5</v>
      </c>
      <c r="E79" s="13">
        <v>84</v>
      </c>
      <c r="F79" s="13">
        <v>0</v>
      </c>
      <c r="G79" s="13">
        <v>19</v>
      </c>
      <c r="H79" s="13">
        <v>5</v>
      </c>
      <c r="I79" s="13">
        <v>1</v>
      </c>
      <c r="J79" s="13">
        <v>59</v>
      </c>
      <c r="K79" s="142">
        <v>669</v>
      </c>
      <c r="L79" s="142" t="s">
        <v>36</v>
      </c>
      <c r="M79" s="142">
        <v>1152</v>
      </c>
      <c r="N79" s="13">
        <f>PRODUCT(F79*3+G79*2+H79+I79)</f>
        <v>44</v>
      </c>
      <c r="O79" s="140">
        <f t="shared" si="3"/>
        <v>0.22619047619047619</v>
      </c>
      <c r="Q79" s="4"/>
      <c r="R79" s="4"/>
      <c r="S79" s="4"/>
      <c r="T79" s="4"/>
      <c r="U79" s="4"/>
      <c r="V79" s="4"/>
      <c r="W79" s="4"/>
      <c r="X79" s="4"/>
    </row>
    <row r="80" spans="2:24">
      <c r="B80" s="130" t="s">
        <v>473</v>
      </c>
      <c r="C80" s="135" t="s">
        <v>283</v>
      </c>
      <c r="D80" s="138">
        <v>1</v>
      </c>
      <c r="E80" s="138">
        <v>22</v>
      </c>
      <c r="F80" s="138">
        <v>9</v>
      </c>
      <c r="G80" s="138">
        <v>5</v>
      </c>
      <c r="H80" s="138">
        <v>0</v>
      </c>
      <c r="I80" s="138">
        <v>6</v>
      </c>
      <c r="J80" s="138">
        <v>2</v>
      </c>
      <c r="K80" s="138">
        <v>208</v>
      </c>
      <c r="L80" s="138" t="s">
        <v>36</v>
      </c>
      <c r="M80" s="138">
        <v>163</v>
      </c>
      <c r="N80" s="138">
        <v>43</v>
      </c>
      <c r="O80" s="141">
        <f t="shared" si="3"/>
        <v>0.63636363636363635</v>
      </c>
      <c r="Q80" s="4"/>
      <c r="R80" s="4"/>
      <c r="S80" s="4"/>
      <c r="T80" s="4"/>
      <c r="U80" s="4"/>
      <c r="V80" s="4"/>
      <c r="W80" s="4"/>
      <c r="X80" s="4"/>
    </row>
    <row r="81" spans="2:24">
      <c r="B81" s="130" t="s">
        <v>474</v>
      </c>
      <c r="C81" s="4" t="s">
        <v>475</v>
      </c>
      <c r="D81" s="13">
        <v>4</v>
      </c>
      <c r="E81" s="13">
        <v>70</v>
      </c>
      <c r="F81" s="13">
        <v>0</v>
      </c>
      <c r="G81" s="13">
        <v>20</v>
      </c>
      <c r="H81" s="13">
        <v>2</v>
      </c>
      <c r="I81" s="13">
        <v>0</v>
      </c>
      <c r="J81" s="13">
        <v>48</v>
      </c>
      <c r="K81" s="142">
        <v>598</v>
      </c>
      <c r="L81" s="142" t="s">
        <v>36</v>
      </c>
      <c r="M81" s="142">
        <v>872</v>
      </c>
      <c r="N81" s="13">
        <f>PRODUCT(F81*3+G81*2+H81+I81)</f>
        <v>42</v>
      </c>
      <c r="O81" s="140">
        <f t="shared" si="3"/>
        <v>0.2857142857142857</v>
      </c>
      <c r="Q81" s="4"/>
      <c r="R81" s="4"/>
      <c r="S81" s="4"/>
      <c r="T81" s="4"/>
      <c r="U81" s="4"/>
      <c r="V81" s="4"/>
      <c r="W81" s="4"/>
      <c r="X81" s="4"/>
    </row>
    <row r="82" spans="2:24">
      <c r="B82" s="130" t="s">
        <v>476</v>
      </c>
      <c r="C82" s="4" t="s">
        <v>477</v>
      </c>
      <c r="D82" s="13">
        <v>3</v>
      </c>
      <c r="E82" s="13">
        <v>42</v>
      </c>
      <c r="F82" s="13">
        <v>7</v>
      </c>
      <c r="G82" s="13">
        <v>5</v>
      </c>
      <c r="H82" s="13">
        <v>0</v>
      </c>
      <c r="I82" s="13">
        <v>5</v>
      </c>
      <c r="J82" s="13">
        <v>25</v>
      </c>
      <c r="K82" s="142">
        <v>366</v>
      </c>
      <c r="L82" s="142" t="s">
        <v>36</v>
      </c>
      <c r="M82" s="142">
        <v>766</v>
      </c>
      <c r="N82" s="13">
        <f>PRODUCT(F82*3+G82*2+H82+I82)</f>
        <v>36</v>
      </c>
      <c r="O82" s="140">
        <f t="shared" si="3"/>
        <v>0.2857142857142857</v>
      </c>
      <c r="Q82" s="4"/>
      <c r="R82" s="4"/>
      <c r="S82" s="4"/>
      <c r="T82" s="4"/>
      <c r="U82" s="4"/>
      <c r="V82" s="4"/>
      <c r="W82" s="4"/>
      <c r="X82" s="4"/>
    </row>
    <row r="83" spans="2:24">
      <c r="B83" s="130" t="s">
        <v>478</v>
      </c>
      <c r="C83" s="135" t="s">
        <v>224</v>
      </c>
      <c r="D83" s="138">
        <v>1</v>
      </c>
      <c r="E83" s="138">
        <v>22</v>
      </c>
      <c r="F83" s="138">
        <v>5</v>
      </c>
      <c r="G83" s="138">
        <v>7</v>
      </c>
      <c r="H83" s="138">
        <v>0</v>
      </c>
      <c r="I83" s="138">
        <v>5</v>
      </c>
      <c r="J83" s="138">
        <v>5</v>
      </c>
      <c r="K83" s="138">
        <v>242</v>
      </c>
      <c r="L83" s="138" t="s">
        <v>36</v>
      </c>
      <c r="M83" s="138">
        <v>199</v>
      </c>
      <c r="N83" s="138">
        <v>34</v>
      </c>
      <c r="O83" s="141">
        <f t="shared" si="3"/>
        <v>0.54545454545454541</v>
      </c>
      <c r="Q83" s="4"/>
      <c r="R83" s="4"/>
      <c r="S83" s="4"/>
      <c r="T83" s="4"/>
      <c r="U83" s="4"/>
      <c r="V83" s="4"/>
      <c r="W83" s="4"/>
      <c r="X83" s="4"/>
    </row>
    <row r="84" spans="2:24">
      <c r="B84" s="130" t="s">
        <v>479</v>
      </c>
      <c r="C84" s="4" t="s">
        <v>480</v>
      </c>
      <c r="D84" s="13">
        <v>1</v>
      </c>
      <c r="E84" s="13">
        <v>22</v>
      </c>
      <c r="F84" s="13">
        <v>9</v>
      </c>
      <c r="G84" s="13">
        <v>2</v>
      </c>
      <c r="H84" s="13">
        <v>2</v>
      </c>
      <c r="I84" s="13">
        <v>1</v>
      </c>
      <c r="J84" s="13">
        <v>8</v>
      </c>
      <c r="K84" s="142">
        <v>191</v>
      </c>
      <c r="L84" s="142" t="s">
        <v>36</v>
      </c>
      <c r="M84" s="142">
        <v>183</v>
      </c>
      <c r="N84" s="13">
        <f t="shared" ref="N84:N104" si="4">PRODUCT(F84*3+G84*2+H84+I84)</f>
        <v>34</v>
      </c>
      <c r="O84" s="140">
        <f t="shared" si="3"/>
        <v>0.5</v>
      </c>
      <c r="Q84" s="4"/>
      <c r="R84" s="4"/>
      <c r="S84" s="4"/>
      <c r="T84" s="4"/>
      <c r="U84" s="4"/>
      <c r="V84" s="4"/>
      <c r="W84" s="4"/>
      <c r="X84" s="4"/>
    </row>
    <row r="85" spans="2:24">
      <c r="B85" s="130" t="s">
        <v>481</v>
      </c>
      <c r="C85" s="4" t="s">
        <v>276</v>
      </c>
      <c r="D85" s="13">
        <v>4</v>
      </c>
      <c r="E85" s="13">
        <v>50</v>
      </c>
      <c r="F85" s="13">
        <v>0</v>
      </c>
      <c r="G85" s="13">
        <v>14</v>
      </c>
      <c r="H85" s="13">
        <v>6</v>
      </c>
      <c r="I85" s="13">
        <v>0</v>
      </c>
      <c r="J85" s="13">
        <v>30</v>
      </c>
      <c r="K85" s="142">
        <v>442</v>
      </c>
      <c r="L85" s="142" t="s">
        <v>36</v>
      </c>
      <c r="M85" s="142">
        <v>530</v>
      </c>
      <c r="N85" s="13">
        <f t="shared" si="4"/>
        <v>34</v>
      </c>
      <c r="O85" s="140">
        <f t="shared" si="3"/>
        <v>0.28000000000000003</v>
      </c>
      <c r="Q85" s="4"/>
      <c r="R85" s="4"/>
      <c r="S85" s="4"/>
      <c r="T85" s="4"/>
      <c r="U85" s="4"/>
      <c r="V85" s="4"/>
      <c r="W85" s="4"/>
      <c r="X85" s="4"/>
    </row>
    <row r="86" spans="2:24">
      <c r="B86" s="130" t="s">
        <v>482</v>
      </c>
      <c r="C86" s="4" t="s">
        <v>52</v>
      </c>
      <c r="D86" s="13">
        <v>1</v>
      </c>
      <c r="E86" s="13">
        <v>14</v>
      </c>
      <c r="F86" s="13">
        <v>7</v>
      </c>
      <c r="G86" s="13">
        <v>4</v>
      </c>
      <c r="H86" s="13">
        <v>0</v>
      </c>
      <c r="I86" s="13">
        <v>1</v>
      </c>
      <c r="J86" s="13">
        <v>2</v>
      </c>
      <c r="K86" s="142">
        <v>161</v>
      </c>
      <c r="L86" s="142" t="s">
        <v>36</v>
      </c>
      <c r="M86" s="142">
        <v>101</v>
      </c>
      <c r="N86" s="13">
        <f t="shared" si="4"/>
        <v>30</v>
      </c>
      <c r="O86" s="140">
        <f t="shared" si="3"/>
        <v>0.7857142857142857</v>
      </c>
      <c r="Q86" s="4"/>
      <c r="R86" s="4"/>
      <c r="S86" s="4"/>
      <c r="T86" s="4"/>
      <c r="U86" s="4"/>
      <c r="V86" s="4"/>
      <c r="W86" s="4"/>
      <c r="X86" s="4"/>
    </row>
    <row r="87" spans="2:24">
      <c r="B87" s="130" t="s">
        <v>483</v>
      </c>
      <c r="C87" s="4" t="s">
        <v>484</v>
      </c>
      <c r="D87" s="13">
        <v>2</v>
      </c>
      <c r="E87" s="13">
        <v>28</v>
      </c>
      <c r="F87" s="13">
        <v>5</v>
      </c>
      <c r="G87" s="13">
        <v>3</v>
      </c>
      <c r="H87" s="13">
        <v>0</v>
      </c>
      <c r="I87" s="13">
        <v>1</v>
      </c>
      <c r="J87" s="13">
        <v>19</v>
      </c>
      <c r="K87" s="142">
        <v>252</v>
      </c>
      <c r="L87" s="142" t="s">
        <v>36</v>
      </c>
      <c r="M87" s="142">
        <v>544</v>
      </c>
      <c r="N87" s="13">
        <f t="shared" si="4"/>
        <v>22</v>
      </c>
      <c r="O87" s="140">
        <f t="shared" si="3"/>
        <v>0.2857142857142857</v>
      </c>
      <c r="Q87" s="4"/>
      <c r="R87" s="4"/>
      <c r="S87" s="4"/>
      <c r="T87" s="4"/>
      <c r="U87" s="4"/>
      <c r="V87" s="4"/>
      <c r="W87" s="4"/>
      <c r="X87" s="4"/>
    </row>
    <row r="88" spans="2:24">
      <c r="B88" s="130" t="s">
        <v>485</v>
      </c>
      <c r="C88" s="4" t="s">
        <v>486</v>
      </c>
      <c r="D88" s="13">
        <v>1</v>
      </c>
      <c r="E88" s="13">
        <v>12</v>
      </c>
      <c r="F88" s="13">
        <v>0</v>
      </c>
      <c r="G88" s="13">
        <v>8</v>
      </c>
      <c r="H88" s="13">
        <v>3</v>
      </c>
      <c r="I88" s="13">
        <v>0</v>
      </c>
      <c r="J88" s="13">
        <v>1</v>
      </c>
      <c r="K88" s="142">
        <v>154</v>
      </c>
      <c r="L88" s="142" t="s">
        <v>36</v>
      </c>
      <c r="M88" s="142">
        <v>75</v>
      </c>
      <c r="N88" s="13">
        <f t="shared" si="4"/>
        <v>19</v>
      </c>
      <c r="O88" s="140">
        <f t="shared" si="3"/>
        <v>0.66666666666666663</v>
      </c>
      <c r="Q88" s="4"/>
      <c r="R88" s="4"/>
      <c r="S88" s="4"/>
      <c r="T88" s="4"/>
      <c r="U88" s="4"/>
      <c r="V88" s="4"/>
      <c r="W88" s="4"/>
      <c r="X88" s="4"/>
    </row>
    <row r="89" spans="2:24">
      <c r="B89" s="130" t="s">
        <v>487</v>
      </c>
      <c r="C89" s="4" t="s">
        <v>488</v>
      </c>
      <c r="D89" s="13">
        <v>3</v>
      </c>
      <c r="E89" s="13">
        <v>52</v>
      </c>
      <c r="F89" s="13">
        <v>1</v>
      </c>
      <c r="G89" s="13">
        <v>7</v>
      </c>
      <c r="H89" s="13">
        <v>0</v>
      </c>
      <c r="I89" s="13">
        <v>2</v>
      </c>
      <c r="J89" s="13">
        <v>42</v>
      </c>
      <c r="K89" s="142">
        <v>335</v>
      </c>
      <c r="L89" s="142" t="s">
        <v>36</v>
      </c>
      <c r="M89" s="142">
        <v>1208</v>
      </c>
      <c r="N89" s="13">
        <f t="shared" si="4"/>
        <v>19</v>
      </c>
      <c r="O89" s="140">
        <f t="shared" si="3"/>
        <v>0.15384615384615385</v>
      </c>
      <c r="Q89" s="4"/>
      <c r="R89" s="4"/>
      <c r="S89" s="4"/>
      <c r="T89" s="4"/>
      <c r="U89" s="4"/>
      <c r="V89" s="4"/>
      <c r="W89" s="4"/>
      <c r="X89" s="4"/>
    </row>
    <row r="90" spans="2:24">
      <c r="B90" s="130" t="s">
        <v>489</v>
      </c>
      <c r="C90" s="4" t="s">
        <v>179</v>
      </c>
      <c r="D90" s="13">
        <v>2</v>
      </c>
      <c r="E90" s="13">
        <v>24</v>
      </c>
      <c r="F90" s="13">
        <v>0</v>
      </c>
      <c r="G90" s="13">
        <v>9</v>
      </c>
      <c r="H90" s="13">
        <v>0</v>
      </c>
      <c r="I90" s="13">
        <v>0</v>
      </c>
      <c r="J90" s="13">
        <v>15</v>
      </c>
      <c r="K90" s="142">
        <v>274</v>
      </c>
      <c r="L90" s="142" t="s">
        <v>36</v>
      </c>
      <c r="M90" s="142">
        <v>414</v>
      </c>
      <c r="N90" s="13">
        <f t="shared" si="4"/>
        <v>18</v>
      </c>
      <c r="O90" s="140">
        <f t="shared" si="3"/>
        <v>0.375</v>
      </c>
      <c r="Q90" s="4"/>
      <c r="R90" s="4"/>
      <c r="S90" s="4"/>
      <c r="T90" s="4"/>
      <c r="U90" s="4"/>
      <c r="V90" s="4"/>
      <c r="W90" s="4"/>
      <c r="X90" s="4"/>
    </row>
    <row r="91" spans="2:24">
      <c r="B91" s="130" t="s">
        <v>490</v>
      </c>
      <c r="C91" s="4" t="s">
        <v>491</v>
      </c>
      <c r="D91" s="13">
        <v>3</v>
      </c>
      <c r="E91" s="13">
        <v>40</v>
      </c>
      <c r="F91" s="13">
        <v>0</v>
      </c>
      <c r="G91" s="13">
        <v>8</v>
      </c>
      <c r="H91" s="13">
        <v>2</v>
      </c>
      <c r="I91" s="13">
        <v>0</v>
      </c>
      <c r="J91" s="13">
        <v>30</v>
      </c>
      <c r="K91" s="142">
        <v>207</v>
      </c>
      <c r="L91" s="142" t="s">
        <v>36</v>
      </c>
      <c r="M91" s="142">
        <v>489</v>
      </c>
      <c r="N91" s="13">
        <f t="shared" si="4"/>
        <v>18</v>
      </c>
      <c r="O91" s="140">
        <f t="shared" si="3"/>
        <v>0.2</v>
      </c>
      <c r="Q91" s="4"/>
      <c r="R91" s="4"/>
      <c r="S91" s="4"/>
      <c r="T91" s="4"/>
      <c r="U91" s="4"/>
      <c r="V91" s="4"/>
      <c r="W91" s="4"/>
      <c r="X91" s="4"/>
    </row>
    <row r="92" spans="2:24">
      <c r="B92" s="130" t="s">
        <v>492</v>
      </c>
      <c r="C92" s="4" t="s">
        <v>493</v>
      </c>
      <c r="D92" s="13">
        <v>1</v>
      </c>
      <c r="E92" s="13">
        <v>19</v>
      </c>
      <c r="F92" s="13">
        <v>2</v>
      </c>
      <c r="G92" s="13">
        <v>3</v>
      </c>
      <c r="H92" s="13">
        <v>0</v>
      </c>
      <c r="I92" s="13">
        <v>4</v>
      </c>
      <c r="J92" s="13">
        <v>10</v>
      </c>
      <c r="K92" s="142">
        <v>166</v>
      </c>
      <c r="L92" s="142" t="s">
        <v>36</v>
      </c>
      <c r="M92" s="142">
        <v>269</v>
      </c>
      <c r="N92" s="13">
        <f t="shared" si="4"/>
        <v>16</v>
      </c>
      <c r="O92" s="140">
        <f t="shared" si="3"/>
        <v>0.26315789473684209</v>
      </c>
      <c r="Q92" s="4"/>
      <c r="R92" s="4"/>
      <c r="S92" s="4"/>
      <c r="T92" s="4"/>
      <c r="U92" s="4"/>
      <c r="V92" s="4"/>
      <c r="W92" s="4"/>
      <c r="X92" s="4"/>
    </row>
    <row r="93" spans="2:24">
      <c r="B93" s="130" t="s">
        <v>494</v>
      </c>
      <c r="C93" s="4" t="s">
        <v>495</v>
      </c>
      <c r="D93" s="13">
        <v>1</v>
      </c>
      <c r="E93" s="13">
        <v>8</v>
      </c>
      <c r="F93" s="13">
        <v>0</v>
      </c>
      <c r="G93" s="13">
        <v>6</v>
      </c>
      <c r="H93" s="13">
        <v>0</v>
      </c>
      <c r="I93" s="13">
        <v>0</v>
      </c>
      <c r="J93" s="13">
        <v>2</v>
      </c>
      <c r="K93" s="142">
        <v>77</v>
      </c>
      <c r="L93" s="142" t="s">
        <v>36</v>
      </c>
      <c r="M93" s="142">
        <v>39</v>
      </c>
      <c r="N93" s="13">
        <f t="shared" si="4"/>
        <v>12</v>
      </c>
      <c r="O93" s="140">
        <f t="shared" si="3"/>
        <v>0.75</v>
      </c>
      <c r="Q93" s="4"/>
      <c r="R93" s="4"/>
      <c r="S93" s="4"/>
      <c r="T93" s="4"/>
      <c r="U93" s="4"/>
      <c r="V93" s="4"/>
      <c r="W93" s="4"/>
      <c r="X93" s="4"/>
    </row>
    <row r="94" spans="2:24">
      <c r="B94" s="130" t="s">
        <v>496</v>
      </c>
      <c r="C94" s="4" t="s">
        <v>497</v>
      </c>
      <c r="D94" s="13">
        <v>2</v>
      </c>
      <c r="E94" s="13">
        <v>28</v>
      </c>
      <c r="F94" s="13">
        <v>2</v>
      </c>
      <c r="G94" s="13">
        <v>0</v>
      </c>
      <c r="H94" s="13">
        <v>0</v>
      </c>
      <c r="I94" s="13">
        <v>4</v>
      </c>
      <c r="J94" s="13">
        <v>22</v>
      </c>
      <c r="K94" s="142">
        <v>172</v>
      </c>
      <c r="L94" s="142" t="s">
        <v>36</v>
      </c>
      <c r="M94" s="142">
        <v>511</v>
      </c>
      <c r="N94" s="13">
        <f t="shared" si="4"/>
        <v>10</v>
      </c>
      <c r="O94" s="140">
        <f t="shared" si="3"/>
        <v>7.1428571428571425E-2</v>
      </c>
      <c r="Q94" s="4"/>
      <c r="R94" s="4"/>
      <c r="S94" s="4"/>
      <c r="T94" s="4"/>
      <c r="U94" s="4"/>
      <c r="V94" s="13"/>
    </row>
    <row r="95" spans="2:24">
      <c r="B95" s="130" t="s">
        <v>498</v>
      </c>
      <c r="C95" s="4" t="s">
        <v>499</v>
      </c>
      <c r="D95" s="13">
        <v>1</v>
      </c>
      <c r="E95" s="13">
        <v>22</v>
      </c>
      <c r="F95" s="13">
        <v>2</v>
      </c>
      <c r="G95" s="13">
        <v>0</v>
      </c>
      <c r="H95" s="13">
        <v>0</v>
      </c>
      <c r="I95" s="13">
        <v>3</v>
      </c>
      <c r="J95" s="13">
        <v>17</v>
      </c>
      <c r="K95" s="142">
        <v>128</v>
      </c>
      <c r="L95" s="142" t="s">
        <v>36</v>
      </c>
      <c r="M95" s="142">
        <v>377</v>
      </c>
      <c r="N95" s="13">
        <f t="shared" si="4"/>
        <v>9</v>
      </c>
      <c r="O95" s="140">
        <f t="shared" si="3"/>
        <v>9.0909090909090912E-2</v>
      </c>
      <c r="Q95" s="4"/>
      <c r="R95" s="4"/>
      <c r="S95" s="4"/>
      <c r="T95" s="4"/>
      <c r="U95" s="4"/>
      <c r="V95" s="132" t="s">
        <v>36</v>
      </c>
      <c r="W95" s="133">
        <v>377</v>
      </c>
      <c r="X95" s="131" t="e">
        <f>PRODUCT(#REF!*3+S95*2+#REF!+T95)</f>
        <v>#REF!</v>
      </c>
    </row>
    <row r="96" spans="2:24">
      <c r="B96" s="130" t="s">
        <v>500</v>
      </c>
      <c r="C96" s="4" t="s">
        <v>501</v>
      </c>
      <c r="D96" s="13">
        <v>2</v>
      </c>
      <c r="E96" s="13">
        <v>18</v>
      </c>
      <c r="F96" s="13">
        <v>0</v>
      </c>
      <c r="G96" s="13">
        <v>4</v>
      </c>
      <c r="H96" s="13">
        <v>0</v>
      </c>
      <c r="I96" s="13">
        <v>0</v>
      </c>
      <c r="J96" s="13">
        <v>14</v>
      </c>
      <c r="K96" s="142">
        <v>108</v>
      </c>
      <c r="L96" s="142" t="s">
        <v>36</v>
      </c>
      <c r="M96" s="142">
        <v>191</v>
      </c>
      <c r="N96" s="13">
        <f t="shared" si="4"/>
        <v>8</v>
      </c>
      <c r="O96" s="140">
        <f t="shared" si="3"/>
        <v>0.22222222222222221</v>
      </c>
      <c r="Q96" s="4"/>
      <c r="R96" s="4"/>
      <c r="S96" s="4"/>
      <c r="T96" s="4"/>
      <c r="U96" s="4"/>
      <c r="V96" s="132" t="s">
        <v>36</v>
      </c>
      <c r="W96" s="133">
        <v>191</v>
      </c>
      <c r="X96" s="131" t="e">
        <f>PRODUCT(#REF!*3+S96*2+#REF!+T96)</f>
        <v>#REF!</v>
      </c>
    </row>
    <row r="97" spans="2:24">
      <c r="B97" s="130" t="s">
        <v>502</v>
      </c>
      <c r="C97" s="4" t="s">
        <v>503</v>
      </c>
      <c r="D97" s="13">
        <v>1</v>
      </c>
      <c r="E97" s="13">
        <v>14</v>
      </c>
      <c r="F97" s="13">
        <v>2</v>
      </c>
      <c r="G97" s="13">
        <v>0</v>
      </c>
      <c r="H97" s="13">
        <v>0</v>
      </c>
      <c r="I97" s="13">
        <v>1</v>
      </c>
      <c r="J97" s="13">
        <v>11</v>
      </c>
      <c r="K97" s="142">
        <v>78</v>
      </c>
      <c r="L97" s="142" t="s">
        <v>36</v>
      </c>
      <c r="M97" s="142">
        <v>247</v>
      </c>
      <c r="N97" s="13">
        <f t="shared" si="4"/>
        <v>7</v>
      </c>
      <c r="O97" s="140">
        <f t="shared" si="3"/>
        <v>0.14285714285714285</v>
      </c>
      <c r="Q97" s="4"/>
      <c r="R97" s="4"/>
      <c r="S97" s="4"/>
      <c r="T97" s="4"/>
      <c r="U97" s="4"/>
      <c r="V97" s="132" t="s">
        <v>36</v>
      </c>
      <c r="W97" s="133">
        <v>247</v>
      </c>
      <c r="X97" s="131" t="e">
        <f>PRODUCT(#REF!*3+S97*2+#REF!+T97)</f>
        <v>#REF!</v>
      </c>
    </row>
    <row r="98" spans="2:24">
      <c r="B98" s="130" t="s">
        <v>504</v>
      </c>
      <c r="C98" s="4" t="s">
        <v>505</v>
      </c>
      <c r="D98" s="13">
        <v>1</v>
      </c>
      <c r="E98" s="13">
        <v>12</v>
      </c>
      <c r="F98" s="13">
        <v>1</v>
      </c>
      <c r="G98" s="13">
        <v>1</v>
      </c>
      <c r="H98" s="13">
        <v>0</v>
      </c>
      <c r="I98" s="13">
        <v>1</v>
      </c>
      <c r="J98" s="13">
        <v>9</v>
      </c>
      <c r="K98" s="142">
        <v>62</v>
      </c>
      <c r="L98" s="142" t="s">
        <v>36</v>
      </c>
      <c r="M98" s="142">
        <v>160</v>
      </c>
      <c r="N98" s="13">
        <f t="shared" si="4"/>
        <v>6</v>
      </c>
      <c r="O98" s="140">
        <f t="shared" si="3"/>
        <v>0.16666666666666666</v>
      </c>
      <c r="Q98" s="4"/>
      <c r="R98" s="4"/>
      <c r="S98" s="4"/>
      <c r="T98" s="4"/>
      <c r="U98" s="4"/>
      <c r="V98" s="132" t="s">
        <v>36</v>
      </c>
      <c r="W98" s="133">
        <v>160</v>
      </c>
      <c r="X98" s="131" t="e">
        <f>PRODUCT(#REF!*3+S98*2+#REF!+T98)</f>
        <v>#REF!</v>
      </c>
    </row>
    <row r="99" spans="2:24">
      <c r="B99" s="130" t="s">
        <v>506</v>
      </c>
      <c r="C99" s="4" t="s">
        <v>507</v>
      </c>
      <c r="D99" s="13">
        <v>1</v>
      </c>
      <c r="E99" s="13">
        <v>10</v>
      </c>
      <c r="F99" s="13">
        <v>0</v>
      </c>
      <c r="G99" s="13">
        <v>2</v>
      </c>
      <c r="H99" s="13">
        <v>0</v>
      </c>
      <c r="I99" s="13">
        <v>0</v>
      </c>
      <c r="J99" s="13">
        <v>8</v>
      </c>
      <c r="K99" s="142">
        <v>84</v>
      </c>
      <c r="L99" s="142" t="s">
        <v>36</v>
      </c>
      <c r="M99" s="142">
        <v>173</v>
      </c>
      <c r="N99" s="13">
        <f t="shared" si="4"/>
        <v>4</v>
      </c>
      <c r="O99" s="140">
        <f t="shared" si="3"/>
        <v>0.2</v>
      </c>
      <c r="Q99" s="4"/>
      <c r="R99" s="4"/>
      <c r="S99" s="4"/>
      <c r="T99" s="4"/>
      <c r="U99" s="4"/>
      <c r="V99" s="132" t="s">
        <v>36</v>
      </c>
      <c r="W99" s="133">
        <v>173</v>
      </c>
      <c r="X99" s="131" t="e">
        <f>PRODUCT(#REF!*3+S99*2+#REF!+T99)</f>
        <v>#REF!</v>
      </c>
    </row>
    <row r="100" spans="2:24">
      <c r="B100" s="130" t="s">
        <v>508</v>
      </c>
      <c r="C100" s="4" t="s">
        <v>509</v>
      </c>
      <c r="D100" s="13">
        <v>1</v>
      </c>
      <c r="E100" s="13">
        <v>14</v>
      </c>
      <c r="F100" s="13">
        <v>0</v>
      </c>
      <c r="G100" s="13">
        <v>1</v>
      </c>
      <c r="H100" s="13">
        <v>2</v>
      </c>
      <c r="I100" s="13">
        <v>0</v>
      </c>
      <c r="J100" s="13">
        <v>11</v>
      </c>
      <c r="K100" s="142">
        <v>85</v>
      </c>
      <c r="L100" s="142" t="s">
        <v>36</v>
      </c>
      <c r="M100" s="142">
        <v>171</v>
      </c>
      <c r="N100" s="13">
        <f t="shared" si="4"/>
        <v>4</v>
      </c>
      <c r="O100" s="140">
        <f t="shared" si="3"/>
        <v>7.1428571428571425E-2</v>
      </c>
      <c r="Q100" s="4"/>
      <c r="R100" s="4"/>
      <c r="S100" s="4"/>
      <c r="T100" s="4"/>
      <c r="U100" s="4"/>
      <c r="V100" s="132" t="s">
        <v>36</v>
      </c>
      <c r="W100" s="133">
        <v>171</v>
      </c>
      <c r="X100" s="131" t="e">
        <f>PRODUCT(#REF!*3+S100*2+#REF!+T100)</f>
        <v>#REF!</v>
      </c>
    </row>
    <row r="101" spans="2:24">
      <c r="B101" s="130" t="s">
        <v>510</v>
      </c>
      <c r="C101" s="4" t="s">
        <v>511</v>
      </c>
      <c r="D101" s="13">
        <v>1</v>
      </c>
      <c r="E101" s="13">
        <v>14</v>
      </c>
      <c r="F101" s="13">
        <v>0</v>
      </c>
      <c r="G101" s="13">
        <v>1</v>
      </c>
      <c r="H101" s="13">
        <v>1</v>
      </c>
      <c r="I101" s="13">
        <v>0</v>
      </c>
      <c r="J101" s="13">
        <v>12</v>
      </c>
      <c r="K101" s="142">
        <v>71</v>
      </c>
      <c r="L101" s="142" t="s">
        <v>36</v>
      </c>
      <c r="M101" s="142">
        <v>177</v>
      </c>
      <c r="N101" s="13">
        <f t="shared" si="4"/>
        <v>3</v>
      </c>
      <c r="O101" s="140">
        <f t="shared" si="3"/>
        <v>7.1428571428571425E-2</v>
      </c>
      <c r="Q101" s="4"/>
      <c r="R101" s="4"/>
      <c r="S101" s="4"/>
      <c r="T101" s="4"/>
      <c r="U101" s="4"/>
      <c r="V101" s="132" t="s">
        <v>36</v>
      </c>
      <c r="W101" s="133">
        <v>177</v>
      </c>
      <c r="X101" s="131" t="e">
        <f>PRODUCT(#REF!*3+S101*2+#REF!+T101)</f>
        <v>#REF!</v>
      </c>
    </row>
    <row r="102" spans="2:24">
      <c r="B102" s="130" t="s">
        <v>512</v>
      </c>
      <c r="C102" s="4" t="s">
        <v>513</v>
      </c>
      <c r="D102" s="13">
        <v>1</v>
      </c>
      <c r="E102" s="13">
        <v>22</v>
      </c>
      <c r="F102" s="13">
        <v>1</v>
      </c>
      <c r="G102" s="13">
        <v>0</v>
      </c>
      <c r="H102" s="13">
        <v>0</v>
      </c>
      <c r="I102" s="13">
        <v>0</v>
      </c>
      <c r="J102" s="13">
        <v>21</v>
      </c>
      <c r="K102" s="142">
        <v>133</v>
      </c>
      <c r="L102" s="142" t="s">
        <v>36</v>
      </c>
      <c r="M102" s="142">
        <v>365</v>
      </c>
      <c r="N102" s="13">
        <f t="shared" si="4"/>
        <v>3</v>
      </c>
      <c r="O102" s="140">
        <f t="shared" si="3"/>
        <v>4.5454545454545456E-2</v>
      </c>
      <c r="Q102" s="4"/>
      <c r="R102" s="4"/>
      <c r="S102" s="4"/>
      <c r="T102" s="4"/>
      <c r="U102" s="4"/>
      <c r="V102" s="132" t="s">
        <v>36</v>
      </c>
      <c r="W102" s="133">
        <v>365</v>
      </c>
      <c r="X102" s="131" t="e">
        <f>PRODUCT(#REF!*3+S102*2+#REF!+T102)</f>
        <v>#REF!</v>
      </c>
    </row>
    <row r="103" spans="2:24">
      <c r="B103" s="6" t="s">
        <v>514</v>
      </c>
      <c r="C103" s="4" t="s">
        <v>515</v>
      </c>
      <c r="D103" s="13">
        <v>1</v>
      </c>
      <c r="E103" s="13">
        <v>16</v>
      </c>
      <c r="F103" s="13">
        <v>0</v>
      </c>
      <c r="G103" s="13">
        <v>1</v>
      </c>
      <c r="H103" s="13">
        <v>0</v>
      </c>
      <c r="I103" s="13">
        <v>0</v>
      </c>
      <c r="J103" s="13">
        <v>15</v>
      </c>
      <c r="K103" s="142">
        <v>51</v>
      </c>
      <c r="L103" s="142" t="s">
        <v>36</v>
      </c>
      <c r="M103" s="142">
        <v>327</v>
      </c>
      <c r="N103" s="13">
        <f t="shared" si="4"/>
        <v>2</v>
      </c>
      <c r="O103" s="140">
        <f t="shared" si="3"/>
        <v>6.25E-2</v>
      </c>
      <c r="Q103" s="4"/>
      <c r="R103" s="4"/>
      <c r="S103" s="4"/>
      <c r="T103" s="4"/>
      <c r="U103" s="4"/>
      <c r="V103" s="132" t="s">
        <v>36</v>
      </c>
      <c r="W103" s="133">
        <v>327</v>
      </c>
      <c r="X103" s="131" t="e">
        <f>PRODUCT(#REF!*3+S103*2+#REF!+T103)</f>
        <v>#REF!</v>
      </c>
    </row>
    <row r="104" spans="2:24">
      <c r="B104" s="6" t="s">
        <v>516</v>
      </c>
      <c r="C104" s="4" t="s">
        <v>517</v>
      </c>
      <c r="D104" s="13">
        <v>1</v>
      </c>
      <c r="E104" s="13">
        <v>12</v>
      </c>
      <c r="F104" s="13">
        <v>0</v>
      </c>
      <c r="G104" s="13">
        <v>0</v>
      </c>
      <c r="H104" s="13">
        <v>0</v>
      </c>
      <c r="I104" s="13">
        <v>0</v>
      </c>
      <c r="J104" s="13">
        <v>12</v>
      </c>
      <c r="K104" s="142">
        <v>47</v>
      </c>
      <c r="L104" s="142" t="s">
        <v>36</v>
      </c>
      <c r="M104" s="142">
        <v>398</v>
      </c>
      <c r="N104" s="13">
        <f t="shared" si="4"/>
        <v>0</v>
      </c>
      <c r="O104" s="140">
        <f t="shared" si="3"/>
        <v>0</v>
      </c>
      <c r="Q104" s="4"/>
      <c r="R104" s="4"/>
      <c r="S104" s="4"/>
      <c r="T104" s="4"/>
      <c r="U104" s="4"/>
      <c r="V104" s="132" t="s">
        <v>36</v>
      </c>
      <c r="W104" s="133">
        <v>398</v>
      </c>
      <c r="X104" s="131" t="e">
        <f>PRODUCT(#REF!*3+S104*2+#REF!+T104)</f>
        <v>#REF!</v>
      </c>
    </row>
    <row r="105" spans="2:24">
      <c r="C105" s="4" t="s">
        <v>518</v>
      </c>
      <c r="D105" s="13"/>
      <c r="E105" s="13"/>
      <c r="F105" s="13"/>
      <c r="G105" s="13"/>
      <c r="H105" s="13"/>
      <c r="I105" s="13"/>
      <c r="J105" s="13"/>
      <c r="L105" s="13"/>
      <c r="O105" s="6"/>
      <c r="Q105" s="4"/>
      <c r="R105" s="4"/>
      <c r="S105" s="4"/>
      <c r="T105" s="4"/>
      <c r="U105" s="4"/>
      <c r="V105" s="13"/>
    </row>
    <row r="106" spans="2:24">
      <c r="C106" s="4"/>
      <c r="D106" s="13"/>
      <c r="E106" s="13"/>
      <c r="F106" s="13"/>
      <c r="G106" s="13"/>
      <c r="H106" s="13"/>
      <c r="I106" s="13"/>
      <c r="J106" s="13"/>
      <c r="L106" s="13"/>
      <c r="Q106" s="4"/>
      <c r="R106" s="4"/>
      <c r="S106" s="4"/>
      <c r="T106" s="4"/>
      <c r="U106" s="4"/>
      <c r="V106" s="13"/>
    </row>
    <row r="107" spans="2:24">
      <c r="C107" s="4"/>
      <c r="D107" s="13"/>
      <c r="E107" s="13"/>
      <c r="F107" s="13"/>
      <c r="G107" s="13"/>
      <c r="H107" s="13"/>
      <c r="I107" s="13"/>
      <c r="J107" s="13"/>
      <c r="L107" s="13"/>
      <c r="Q107" s="4"/>
      <c r="R107" s="4"/>
      <c r="S107" s="4"/>
      <c r="T107" s="4"/>
      <c r="U107" s="4"/>
      <c r="V107" s="13"/>
    </row>
    <row r="108" spans="2:24">
      <c r="Q108" s="4"/>
      <c r="R108" s="4"/>
      <c r="S108" s="4"/>
      <c r="T108" s="4"/>
      <c r="U108" s="4"/>
      <c r="X108" s="22"/>
    </row>
    <row r="109" spans="2:24">
      <c r="Q109" s="4"/>
      <c r="R109" s="4"/>
      <c r="S109" s="4"/>
      <c r="T109" s="4"/>
      <c r="U109" s="4"/>
      <c r="X109" s="22"/>
    </row>
    <row r="110" spans="2:24">
      <c r="Q110" s="4"/>
      <c r="R110" s="4"/>
      <c r="S110" s="4"/>
      <c r="T110" s="4"/>
      <c r="U110" s="4"/>
      <c r="W110" s="21"/>
      <c r="X110" s="22"/>
    </row>
    <row r="111" spans="2:24">
      <c r="Q111" s="4"/>
      <c r="R111" s="4"/>
      <c r="S111" s="4"/>
      <c r="T111" s="4"/>
      <c r="U111" s="4"/>
      <c r="W111" s="21"/>
      <c r="X111" s="22"/>
    </row>
    <row r="112" spans="2:24">
      <c r="Q112" s="4"/>
      <c r="R112" s="4"/>
      <c r="S112" s="4"/>
      <c r="T112" s="4"/>
      <c r="U112" s="4"/>
      <c r="W112" s="21"/>
      <c r="X112" s="131"/>
    </row>
    <row r="113" spans="17:24">
      <c r="Q113" s="4"/>
      <c r="R113" s="4"/>
      <c r="S113" s="4"/>
      <c r="T113" s="4"/>
      <c r="U113" s="4"/>
      <c r="W113" s="21"/>
      <c r="X113" s="131"/>
    </row>
    <row r="114" spans="17:24">
      <c r="Q114" s="4"/>
      <c r="R114" s="4"/>
      <c r="S114" s="4"/>
      <c r="T114" s="4"/>
      <c r="U114" s="4"/>
      <c r="W114" s="21"/>
      <c r="X114" s="131"/>
    </row>
    <row r="115" spans="17:24">
      <c r="Q115" s="4"/>
      <c r="R115" s="4"/>
      <c r="S115" s="4"/>
      <c r="T115" s="4"/>
      <c r="U115" s="4"/>
      <c r="W115" s="21"/>
      <c r="X115" s="131"/>
    </row>
    <row r="116" spans="17:24">
      <c r="Q116" s="4"/>
      <c r="R116" s="4"/>
      <c r="S116" s="4"/>
      <c r="T116" s="4"/>
      <c r="U116" s="4"/>
      <c r="W116" s="21"/>
      <c r="X116" s="131"/>
    </row>
    <row r="117" spans="17:24">
      <c r="Q117" s="4"/>
      <c r="R117" s="4"/>
      <c r="S117" s="4"/>
      <c r="T117" s="4"/>
      <c r="U117" s="4"/>
      <c r="W117" s="21"/>
      <c r="X117" s="131"/>
    </row>
    <row r="118" spans="17:24">
      <c r="Q118" s="4"/>
      <c r="R118" s="4"/>
      <c r="S118" s="4"/>
      <c r="T118" s="4"/>
      <c r="U118" s="4"/>
      <c r="W118" s="21"/>
      <c r="X118" s="131"/>
    </row>
    <row r="119" spans="17:24">
      <c r="Q119" s="4"/>
      <c r="R119" s="4"/>
      <c r="S119" s="4"/>
      <c r="T119" s="4"/>
      <c r="U119" s="4"/>
      <c r="W119" s="21"/>
      <c r="X119" s="131"/>
    </row>
    <row r="120" spans="17:24">
      <c r="Q120" s="4"/>
      <c r="R120" s="4"/>
      <c r="S120" s="4"/>
      <c r="T120" s="4"/>
      <c r="U120" s="4"/>
      <c r="W120" s="21"/>
      <c r="X120" s="131"/>
    </row>
    <row r="121" spans="17:24">
      <c r="Q121" s="4"/>
      <c r="R121" s="4"/>
      <c r="S121" s="4"/>
      <c r="T121" s="4"/>
      <c r="U121" s="4"/>
      <c r="W121" s="21"/>
      <c r="X121" s="131"/>
    </row>
    <row r="122" spans="17:24">
      <c r="Q122" s="4"/>
      <c r="R122" s="4"/>
      <c r="S122" s="4"/>
      <c r="T122" s="4"/>
      <c r="U122" s="4"/>
      <c r="W122" s="21"/>
      <c r="X122" s="131"/>
    </row>
    <row r="123" spans="17:24">
      <c r="Q123" s="4"/>
      <c r="R123" s="4"/>
      <c r="S123" s="4"/>
      <c r="T123" s="4"/>
      <c r="U123" s="4"/>
      <c r="W123" s="21"/>
      <c r="X123" s="131"/>
    </row>
    <row r="124" spans="17:24">
      <c r="Q124" s="4"/>
      <c r="R124" s="4"/>
      <c r="S124" s="4"/>
      <c r="T124" s="4"/>
      <c r="U124" s="4"/>
      <c r="W124" s="21"/>
      <c r="X124" s="131"/>
    </row>
    <row r="125" spans="17:24">
      <c r="Q125" s="4"/>
      <c r="R125" s="4"/>
      <c r="S125" s="4"/>
      <c r="T125" s="4"/>
      <c r="U125" s="4"/>
      <c r="W125" s="21"/>
      <c r="X125" s="22"/>
    </row>
    <row r="126" spans="17:24">
      <c r="Q126" s="4"/>
      <c r="R126" s="4"/>
      <c r="S126" s="4"/>
      <c r="T126" s="4"/>
      <c r="U126" s="4"/>
      <c r="W126" s="21"/>
      <c r="X126" s="131"/>
    </row>
    <row r="127" spans="17:24">
      <c r="Q127" s="4"/>
      <c r="R127" s="4"/>
      <c r="S127" s="4"/>
      <c r="T127" s="4"/>
      <c r="U127" s="4"/>
      <c r="W127" s="21"/>
      <c r="X127" s="131"/>
    </row>
    <row r="128" spans="17:24">
      <c r="Q128" s="4"/>
      <c r="R128" s="4"/>
      <c r="S128" s="4"/>
      <c r="T128" s="4"/>
      <c r="U128" s="4"/>
      <c r="W128" s="21"/>
      <c r="X128" s="131"/>
    </row>
    <row r="129" spans="17:24">
      <c r="Q129" s="4"/>
      <c r="R129" s="4"/>
      <c r="S129" s="4"/>
      <c r="T129" s="4"/>
      <c r="U129" s="4"/>
      <c r="W129" s="21"/>
      <c r="X129" s="131"/>
    </row>
    <row r="130" spans="17:24">
      <c r="Q130" s="4"/>
      <c r="R130" s="4"/>
      <c r="S130" s="4"/>
      <c r="T130" s="4"/>
      <c r="U130" s="4"/>
      <c r="W130" s="21"/>
      <c r="X130" s="131"/>
    </row>
    <row r="131" spans="17:24">
      <c r="Q131" s="4"/>
      <c r="R131" s="4"/>
      <c r="S131" s="4"/>
      <c r="T131" s="4"/>
      <c r="U131" s="4"/>
      <c r="W131" s="21"/>
      <c r="X131" s="131"/>
    </row>
    <row r="132" spans="17:24">
      <c r="Q132" s="4"/>
      <c r="R132" s="4"/>
      <c r="S132" s="4"/>
      <c r="T132" s="4"/>
      <c r="U132" s="4"/>
      <c r="W132" s="21"/>
      <c r="X132" s="131"/>
    </row>
    <row r="133" spans="17:24">
      <c r="Q133" s="4"/>
      <c r="R133" s="4"/>
      <c r="S133" s="4"/>
      <c r="T133" s="4"/>
      <c r="U133" s="4"/>
      <c r="W133" s="21"/>
      <c r="X133" s="131"/>
    </row>
    <row r="134" spans="17:24">
      <c r="Q134" s="4"/>
      <c r="R134" s="4"/>
      <c r="S134" s="4"/>
      <c r="T134" s="4"/>
      <c r="U134" s="4"/>
      <c r="W134" s="21"/>
      <c r="X134" s="131"/>
    </row>
    <row r="135" spans="17:24">
      <c r="Q135" s="4"/>
      <c r="R135" s="4"/>
      <c r="S135" s="4"/>
      <c r="T135" s="4"/>
      <c r="U135" s="4"/>
      <c r="W135" s="21"/>
      <c r="X135" s="131"/>
    </row>
    <row r="136" spans="17:24">
      <c r="Q136" s="4"/>
      <c r="R136" s="4"/>
      <c r="S136" s="4"/>
      <c r="T136" s="4"/>
      <c r="U136" s="4"/>
      <c r="W136" s="21"/>
      <c r="X136" s="131"/>
    </row>
    <row r="137" spans="17:24">
      <c r="Q137" s="4"/>
      <c r="R137" s="4"/>
      <c r="S137" s="4"/>
      <c r="T137" s="4"/>
      <c r="U137" s="4"/>
      <c r="W137" s="21"/>
      <c r="X137" s="131"/>
    </row>
    <row r="138" spans="17:24">
      <c r="Q138" s="4"/>
      <c r="R138" s="4"/>
      <c r="S138" s="4"/>
      <c r="T138" s="4"/>
      <c r="U138" s="4"/>
      <c r="V138" s="4"/>
      <c r="W138" s="4"/>
      <c r="X138" s="131"/>
    </row>
    <row r="139" spans="17:24">
      <c r="Q139" s="4"/>
      <c r="R139" s="4"/>
      <c r="S139" s="4"/>
      <c r="T139" s="4"/>
      <c r="U139" s="4"/>
      <c r="V139" s="4"/>
      <c r="W139" s="4"/>
      <c r="X139" s="131"/>
    </row>
    <row r="140" spans="17:24">
      <c r="Q140" s="4"/>
      <c r="R140" s="4"/>
      <c r="S140" s="4"/>
      <c r="T140" s="4"/>
      <c r="U140" s="4"/>
      <c r="V140" s="4"/>
      <c r="W140" s="4"/>
      <c r="X140" s="131"/>
    </row>
    <row r="141" spans="17:24">
      <c r="Q141" s="4"/>
      <c r="R141" s="4"/>
      <c r="S141" s="4"/>
      <c r="T141" s="4"/>
      <c r="U141" s="4"/>
      <c r="V141" s="4"/>
      <c r="W141" s="4"/>
      <c r="X141" s="131"/>
    </row>
    <row r="142" spans="17:24">
      <c r="Q142" s="4"/>
      <c r="R142" s="4"/>
      <c r="S142" s="4"/>
      <c r="T142" s="4"/>
      <c r="U142" s="4"/>
      <c r="V142" s="13"/>
    </row>
    <row r="143" spans="17:24">
      <c r="Q143" s="4"/>
      <c r="R143" s="4"/>
      <c r="S143" s="4"/>
      <c r="T143" s="4"/>
      <c r="U143" s="4"/>
      <c r="V143" s="13"/>
    </row>
    <row r="144" spans="17:24">
      <c r="Q144" s="4"/>
      <c r="R144" s="4"/>
      <c r="S144" s="4"/>
      <c r="T144" s="4"/>
      <c r="U144" s="4"/>
      <c r="V144" s="13"/>
    </row>
    <row r="145" spans="17:22">
      <c r="Q145" s="4"/>
      <c r="R145" s="4"/>
      <c r="S145" s="4"/>
      <c r="T145" s="4"/>
      <c r="U145" s="4"/>
      <c r="V145" s="13"/>
    </row>
    <row r="146" spans="17:22">
      <c r="Q146" s="4"/>
      <c r="R146" s="4"/>
      <c r="S146" s="4"/>
      <c r="T146" s="4"/>
      <c r="U146" s="4"/>
      <c r="V146" s="13"/>
    </row>
    <row r="147" spans="17:22">
      <c r="Q147" s="4"/>
      <c r="R147" s="4"/>
      <c r="S147" s="4"/>
      <c r="T147" s="4"/>
      <c r="U147" s="4"/>
      <c r="V147" s="13"/>
    </row>
    <row r="148" spans="17:22">
      <c r="Q148" s="4"/>
      <c r="R148" s="4"/>
      <c r="S148" s="4"/>
      <c r="T148" s="4"/>
      <c r="U148" s="4"/>
      <c r="V148" s="13"/>
    </row>
    <row r="149" spans="17:22">
      <c r="Q149" s="4"/>
      <c r="R149" s="4"/>
      <c r="S149" s="4"/>
      <c r="T149" s="4"/>
      <c r="U149" s="4"/>
      <c r="V149" s="13"/>
    </row>
    <row r="150" spans="17:22">
      <c r="Q150" s="4"/>
      <c r="R150" s="4"/>
      <c r="S150" s="4"/>
      <c r="T150" s="4"/>
      <c r="U150" s="4"/>
      <c r="V150" s="13"/>
    </row>
    <row r="151" spans="17:22">
      <c r="Q151" s="4"/>
      <c r="R151" s="4"/>
      <c r="S151" s="4"/>
      <c r="T151" s="4"/>
      <c r="U151" s="4"/>
      <c r="V151" s="13"/>
    </row>
    <row r="152" spans="17:22">
      <c r="Q152" s="4"/>
      <c r="R152" s="4"/>
      <c r="S152" s="4"/>
      <c r="T152" s="4"/>
      <c r="U152" s="4"/>
      <c r="V152" s="13"/>
    </row>
    <row r="153" spans="17:22">
      <c r="Q153" s="4"/>
      <c r="R153" s="4"/>
      <c r="S153" s="4"/>
      <c r="T153" s="4"/>
      <c r="U153" s="4"/>
      <c r="V153" s="13"/>
    </row>
    <row r="154" spans="17:22">
      <c r="Q154" s="4"/>
      <c r="R154" s="4"/>
      <c r="S154" s="4"/>
      <c r="T154" s="4"/>
      <c r="U154" s="4"/>
      <c r="V154" s="13"/>
    </row>
    <row r="155" spans="17:22">
      <c r="Q155" s="13"/>
      <c r="R155" s="13"/>
      <c r="S155" s="13"/>
      <c r="T155" s="13"/>
      <c r="V155" s="13"/>
    </row>
    <row r="156" spans="17:22">
      <c r="Q156" s="13"/>
      <c r="R156" s="13"/>
      <c r="S156" s="13"/>
      <c r="T156" s="13"/>
      <c r="V156" s="13"/>
    </row>
    <row r="157" spans="17:22">
      <c r="Q157" s="13"/>
      <c r="R157" s="13"/>
      <c r="S157" s="13"/>
      <c r="T157" s="13"/>
      <c r="V157" s="13"/>
    </row>
    <row r="158" spans="17:22">
      <c r="Q158" s="13"/>
      <c r="R158" s="13"/>
      <c r="S158" s="13"/>
      <c r="T158" s="13"/>
      <c r="V158" s="13"/>
    </row>
    <row r="159" spans="17:22">
      <c r="Q159" s="13"/>
      <c r="R159" s="13"/>
      <c r="S159" s="13"/>
      <c r="T159" s="13"/>
      <c r="V159" s="13"/>
    </row>
    <row r="160" spans="17:22">
      <c r="Q160" s="13"/>
      <c r="R160" s="13"/>
      <c r="S160" s="13"/>
      <c r="T160" s="13"/>
      <c r="V160" s="13"/>
    </row>
    <row r="161" spans="17:24">
      <c r="Q161" s="13"/>
      <c r="R161" s="13"/>
      <c r="S161" s="13"/>
      <c r="T161" s="13"/>
      <c r="V161" s="13"/>
    </row>
    <row r="162" spans="17:24">
      <c r="Q162" s="13"/>
      <c r="R162" s="13"/>
      <c r="S162" s="13"/>
      <c r="T162" s="13"/>
      <c r="V162" s="13"/>
    </row>
    <row r="163" spans="17:24">
      <c r="Q163" s="13"/>
      <c r="R163" s="13"/>
      <c r="S163" s="13"/>
      <c r="T163" s="13"/>
      <c r="V163" s="13"/>
    </row>
    <row r="164" spans="17:24">
      <c r="Q164" s="13"/>
      <c r="R164" s="13"/>
      <c r="S164" s="13"/>
      <c r="T164" s="13"/>
      <c r="V164" s="13"/>
    </row>
    <row r="165" spans="17:24">
      <c r="Q165" s="13"/>
      <c r="R165" s="13"/>
      <c r="S165" s="13"/>
      <c r="T165" s="13"/>
      <c r="V165" s="13"/>
    </row>
    <row r="166" spans="17:24">
      <c r="Q166" s="13"/>
      <c r="R166" s="13"/>
      <c r="S166" s="13"/>
      <c r="T166" s="13"/>
      <c r="V166" s="13"/>
    </row>
    <row r="167" spans="17:24">
      <c r="Q167" s="13"/>
      <c r="R167" s="13"/>
      <c r="S167" s="13"/>
      <c r="T167" s="13"/>
      <c r="V167" s="13"/>
    </row>
    <row r="168" spans="17:24">
      <c r="Q168" s="13"/>
      <c r="R168" s="13"/>
      <c r="S168" s="13"/>
      <c r="T168" s="13"/>
      <c r="V168" s="13"/>
    </row>
    <row r="169" spans="17:24">
      <c r="Q169" s="13"/>
      <c r="R169" s="13"/>
      <c r="S169" s="13"/>
      <c r="T169" s="13"/>
      <c r="V169" s="13"/>
    </row>
    <row r="170" spans="17:24">
      <c r="Q170" s="13"/>
      <c r="R170" s="13"/>
      <c r="S170" s="13"/>
      <c r="T170" s="13"/>
      <c r="V170" s="13"/>
    </row>
    <row r="171" spans="17:24">
      <c r="Q171" s="13"/>
      <c r="R171" s="13"/>
      <c r="S171" s="13"/>
      <c r="T171" s="13"/>
      <c r="V171" s="13"/>
    </row>
    <row r="172" spans="17:24">
      <c r="Q172" s="13"/>
      <c r="R172" s="13"/>
      <c r="S172" s="13"/>
      <c r="T172" s="13"/>
      <c r="V172" s="13"/>
    </row>
    <row r="173" spans="17:24">
      <c r="Q173" s="13"/>
      <c r="R173" s="13"/>
      <c r="S173" s="13"/>
      <c r="T173" s="13"/>
      <c r="V173" s="13"/>
    </row>
    <row r="174" spans="17:24">
      <c r="Q174" s="13"/>
      <c r="R174" s="13"/>
      <c r="S174" s="13"/>
      <c r="T174" s="13"/>
      <c r="V174" s="13"/>
    </row>
    <row r="175" spans="17:24">
      <c r="Q175" s="13"/>
      <c r="R175" s="13"/>
      <c r="S175" s="13"/>
      <c r="T175" s="13"/>
      <c r="V175" s="13"/>
    </row>
    <row r="176" spans="17:24">
      <c r="Q176" s="4"/>
      <c r="R176" s="4"/>
      <c r="S176" s="4"/>
      <c r="T176" s="4"/>
      <c r="U176" s="4"/>
      <c r="V176" s="4"/>
      <c r="W176" s="4"/>
      <c r="X176" s="4"/>
    </row>
    <row r="177" spans="17:24">
      <c r="Q177" s="4"/>
      <c r="R177" s="4"/>
      <c r="S177" s="4"/>
      <c r="T177" s="4"/>
      <c r="U177" s="4"/>
      <c r="V177" s="4"/>
      <c r="W177" s="4"/>
      <c r="X177" s="4"/>
    </row>
    <row r="178" spans="17:24">
      <c r="Q178" s="4"/>
      <c r="R178" s="4"/>
      <c r="S178" s="4"/>
      <c r="T178" s="4"/>
      <c r="U178" s="4"/>
      <c r="V178" s="4"/>
      <c r="W178" s="4"/>
      <c r="X178" s="4"/>
    </row>
    <row r="179" spans="17:24">
      <c r="Q179" s="4"/>
      <c r="R179" s="4"/>
      <c r="S179" s="4"/>
      <c r="T179" s="4"/>
      <c r="U179" s="4"/>
      <c r="V179" s="4"/>
      <c r="W179" s="4"/>
      <c r="X179" s="4"/>
    </row>
    <row r="180" spans="17:24">
      <c r="Q180" s="4"/>
      <c r="R180" s="4"/>
      <c r="S180" s="4"/>
      <c r="T180" s="4"/>
      <c r="U180" s="4"/>
      <c r="V180" s="4"/>
      <c r="W180" s="4"/>
      <c r="X180" s="4"/>
    </row>
    <row r="181" spans="17:24">
      <c r="Q181" s="4"/>
      <c r="R181" s="4"/>
      <c r="S181" s="4"/>
      <c r="T181" s="4"/>
      <c r="U181" s="4"/>
      <c r="V181" s="4"/>
      <c r="W181" s="4"/>
      <c r="X181" s="4"/>
    </row>
    <row r="182" spans="17:24">
      <c r="Q182" s="4"/>
      <c r="R182" s="4"/>
      <c r="S182" s="4"/>
      <c r="T182" s="4"/>
      <c r="U182" s="4"/>
      <c r="V182" s="4"/>
      <c r="W182" s="4"/>
      <c r="X182" s="4"/>
    </row>
    <row r="183" spans="17:24">
      <c r="Q183" s="4"/>
      <c r="R183" s="4"/>
      <c r="S183" s="4"/>
      <c r="T183" s="4"/>
      <c r="U183" s="4"/>
      <c r="V183" s="4"/>
      <c r="W183" s="4"/>
      <c r="X183" s="4"/>
    </row>
    <row r="184" spans="17:24">
      <c r="Q184" s="4"/>
      <c r="R184" s="4"/>
      <c r="S184" s="4"/>
      <c r="T184" s="4"/>
      <c r="U184" s="4"/>
      <c r="V184" s="4"/>
      <c r="W184" s="4"/>
      <c r="X184" s="4"/>
    </row>
    <row r="185" spans="17:24">
      <c r="Q185" s="4"/>
      <c r="R185" s="4"/>
      <c r="S185" s="4"/>
      <c r="T185" s="4"/>
      <c r="U185" s="4"/>
      <c r="V185" s="4"/>
      <c r="W185" s="4"/>
      <c r="X185" s="4"/>
    </row>
    <row r="186" spans="17:24">
      <c r="Q186" s="4"/>
      <c r="R186" s="4"/>
      <c r="S186" s="4"/>
      <c r="T186" s="4"/>
      <c r="U186" s="4"/>
      <c r="V186" s="4"/>
      <c r="W186" s="4"/>
      <c r="X186" s="4"/>
    </row>
    <row r="187" spans="17:24">
      <c r="Q187" s="4"/>
      <c r="R187" s="4"/>
      <c r="S187" s="4"/>
      <c r="T187" s="4"/>
      <c r="U187" s="4"/>
      <c r="V187" s="4"/>
      <c r="W187" s="4"/>
      <c r="X187" s="4"/>
    </row>
    <row r="188" spans="17:24">
      <c r="Q188" s="4"/>
      <c r="R188" s="4"/>
      <c r="S188" s="4"/>
      <c r="T188" s="4"/>
      <c r="U188" s="4"/>
      <c r="V188" s="4"/>
      <c r="W188" s="4"/>
      <c r="X188" s="4"/>
    </row>
    <row r="189" spans="17:24">
      <c r="Q189" s="4"/>
      <c r="R189" s="4"/>
      <c r="S189" s="4"/>
      <c r="T189" s="4"/>
      <c r="U189" s="4"/>
      <c r="V189" s="4"/>
      <c r="W189" s="4"/>
      <c r="X189" s="4"/>
    </row>
    <row r="190" spans="17:24">
      <c r="Q190" s="4"/>
      <c r="R190" s="4"/>
      <c r="S190" s="4"/>
      <c r="T190" s="4"/>
      <c r="U190" s="4"/>
      <c r="V190" s="4"/>
      <c r="W190" s="4"/>
      <c r="X190" s="4"/>
    </row>
    <row r="191" spans="17:24">
      <c r="Q191" s="4"/>
      <c r="R191" s="4"/>
      <c r="S191" s="4"/>
      <c r="T191" s="4"/>
      <c r="U191" s="4"/>
      <c r="V191" s="4"/>
      <c r="W191" s="4"/>
      <c r="X191" s="4"/>
    </row>
    <row r="192" spans="17:24">
      <c r="Q192" s="4"/>
      <c r="R192" s="4"/>
      <c r="S192" s="4"/>
      <c r="T192" s="4"/>
      <c r="U192" s="4"/>
      <c r="V192" s="4"/>
      <c r="W192" s="4"/>
      <c r="X192" s="4"/>
    </row>
    <row r="193" spans="17:24">
      <c r="Q193" s="4"/>
      <c r="R193" s="4"/>
      <c r="S193" s="4"/>
      <c r="T193" s="4"/>
      <c r="U193" s="4"/>
      <c r="V193" s="4"/>
      <c r="W193" s="4"/>
      <c r="X193" s="4"/>
    </row>
    <row r="194" spans="17:24">
      <c r="Q194" s="4"/>
      <c r="R194" s="4"/>
      <c r="S194" s="4"/>
      <c r="T194" s="4"/>
      <c r="U194" s="4"/>
      <c r="V194" s="4"/>
      <c r="W194" s="4"/>
      <c r="X194" s="4"/>
    </row>
    <row r="195" spans="17:24">
      <c r="Q195" s="4"/>
      <c r="R195" s="4"/>
      <c r="S195" s="4"/>
      <c r="T195" s="4"/>
      <c r="U195" s="4"/>
      <c r="V195" s="4"/>
      <c r="W195" s="4"/>
      <c r="X195" s="4"/>
    </row>
    <row r="196" spans="17:24">
      <c r="Q196" s="4"/>
      <c r="R196" s="4"/>
      <c r="S196" s="4"/>
      <c r="T196" s="4"/>
      <c r="U196" s="4"/>
      <c r="V196" s="4"/>
      <c r="W196" s="4"/>
      <c r="X196" s="4"/>
    </row>
    <row r="197" spans="17:24">
      <c r="Q197" s="4"/>
      <c r="R197" s="4"/>
      <c r="S197" s="4"/>
      <c r="T197" s="4"/>
      <c r="U197" s="4"/>
      <c r="V197" s="4"/>
      <c r="W197" s="4"/>
      <c r="X197" s="4"/>
    </row>
    <row r="198" spans="17:24">
      <c r="Q198" s="4"/>
      <c r="R198" s="4"/>
      <c r="S198" s="4"/>
      <c r="T198" s="4"/>
      <c r="U198" s="4"/>
      <c r="V198" s="4"/>
      <c r="W198" s="4"/>
      <c r="X198" s="4"/>
    </row>
    <row r="199" spans="17:24">
      <c r="Q199" s="4"/>
      <c r="R199" s="4"/>
      <c r="S199" s="4"/>
      <c r="T199" s="4"/>
      <c r="U199" s="4"/>
      <c r="V199" s="4"/>
      <c r="W199" s="4"/>
      <c r="X199" s="4"/>
    </row>
    <row r="200" spans="17:24">
      <c r="Q200" s="4"/>
      <c r="R200" s="4"/>
      <c r="S200" s="4"/>
      <c r="T200" s="4"/>
      <c r="U200" s="4"/>
      <c r="V200" s="4"/>
      <c r="W200" s="4"/>
      <c r="X200" s="4"/>
    </row>
    <row r="201" spans="17:24">
      <c r="Q201" s="13"/>
      <c r="R201" s="13"/>
      <c r="S201" s="13"/>
      <c r="T201" s="13"/>
      <c r="V201" s="13"/>
    </row>
    <row r="209" spans="3:24">
      <c r="C209" s="4"/>
      <c r="D209" s="13"/>
      <c r="E209" s="13"/>
      <c r="F209" s="13"/>
      <c r="G209" s="13"/>
      <c r="H209" s="13"/>
      <c r="I209" s="13"/>
      <c r="J209" s="13"/>
      <c r="K209" s="4"/>
      <c r="L209" s="4"/>
      <c r="M209" s="4"/>
      <c r="Q209" s="4"/>
      <c r="R209" s="4"/>
      <c r="S209" s="4"/>
      <c r="T209" s="4"/>
      <c r="U209" s="4"/>
      <c r="V209" s="4"/>
      <c r="W209" s="4"/>
      <c r="X209" s="4"/>
    </row>
    <row r="210" spans="3:24">
      <c r="C210" s="4"/>
      <c r="D210" s="13"/>
      <c r="E210" s="13"/>
      <c r="F210" s="13"/>
      <c r="G210" s="13"/>
      <c r="H210" s="13"/>
      <c r="I210" s="13"/>
      <c r="J210" s="13"/>
      <c r="K210" s="4"/>
      <c r="L210" s="4"/>
      <c r="M210" s="4"/>
      <c r="Q210" s="4"/>
      <c r="R210" s="4"/>
      <c r="S210" s="4"/>
      <c r="T210" s="4"/>
      <c r="U210" s="4"/>
      <c r="V210" s="4"/>
      <c r="W210" s="4"/>
      <c r="X210" s="4"/>
    </row>
    <row r="211" spans="3:24">
      <c r="C211" s="4"/>
      <c r="D211" s="13"/>
      <c r="E211" s="13"/>
      <c r="F211" s="13"/>
      <c r="G211" s="13"/>
      <c r="H211" s="13"/>
      <c r="I211" s="13"/>
      <c r="J211" s="13"/>
      <c r="K211" s="4"/>
      <c r="L211" s="4"/>
      <c r="M211" s="4"/>
      <c r="Q211" s="4"/>
      <c r="R211" s="4"/>
      <c r="S211" s="4"/>
      <c r="T211" s="4"/>
      <c r="U211" s="4"/>
      <c r="V211" s="4"/>
      <c r="W211" s="4"/>
      <c r="X211" s="4"/>
    </row>
    <row r="212" spans="3:24">
      <c r="C212" s="4"/>
      <c r="D212" s="13"/>
      <c r="E212" s="13"/>
      <c r="F212" s="13"/>
      <c r="G212" s="13"/>
      <c r="H212" s="13"/>
      <c r="I212" s="13"/>
      <c r="J212" s="13"/>
      <c r="K212" s="4"/>
      <c r="L212" s="4"/>
      <c r="M212" s="4"/>
      <c r="Q212" s="4"/>
      <c r="R212" s="4"/>
      <c r="S212" s="4"/>
      <c r="T212" s="4"/>
      <c r="U212" s="4"/>
      <c r="V212" s="4"/>
      <c r="W212" s="4"/>
      <c r="X212" s="4"/>
    </row>
    <row r="213" spans="3:24">
      <c r="C213" s="4"/>
      <c r="D213" s="13"/>
      <c r="E213" s="13"/>
      <c r="F213" s="13"/>
      <c r="G213" s="13"/>
      <c r="H213" s="13"/>
      <c r="I213" s="13"/>
      <c r="J213" s="13"/>
      <c r="K213" s="4"/>
      <c r="L213" s="4"/>
      <c r="M213" s="4"/>
      <c r="Q213" s="4"/>
      <c r="R213" s="4"/>
      <c r="S213" s="4"/>
      <c r="T213" s="4"/>
      <c r="U213" s="4"/>
      <c r="V213" s="4"/>
      <c r="W213" s="4"/>
      <c r="X213" s="4"/>
    </row>
    <row r="214" spans="3:24">
      <c r="C214" s="4"/>
      <c r="D214" s="13"/>
      <c r="E214" s="13"/>
      <c r="F214" s="13"/>
      <c r="G214" s="13"/>
      <c r="H214" s="13"/>
      <c r="I214" s="13"/>
      <c r="J214" s="13"/>
      <c r="K214" s="4"/>
      <c r="L214" s="4"/>
      <c r="M214" s="4"/>
      <c r="Q214" s="4"/>
      <c r="R214" s="4"/>
      <c r="S214" s="4"/>
      <c r="T214" s="4"/>
      <c r="U214" s="4"/>
      <c r="V214" s="4"/>
      <c r="W214" s="4"/>
      <c r="X214" s="4"/>
    </row>
    <row r="215" spans="3:24">
      <c r="C215" s="4"/>
      <c r="D215" s="13"/>
      <c r="E215" s="13"/>
      <c r="F215" s="13"/>
      <c r="G215" s="13"/>
      <c r="H215" s="13"/>
      <c r="I215" s="13"/>
      <c r="J215" s="13"/>
      <c r="K215" s="4"/>
      <c r="L215" s="4"/>
      <c r="M215" s="4"/>
      <c r="Q215" s="4"/>
      <c r="R215" s="4"/>
      <c r="S215" s="4"/>
      <c r="T215" s="4"/>
      <c r="U215" s="4"/>
      <c r="V215" s="4"/>
      <c r="W215" s="4"/>
      <c r="X215" s="4"/>
    </row>
    <row r="216" spans="3:24">
      <c r="C216" s="4"/>
      <c r="D216" s="13"/>
      <c r="E216" s="13"/>
      <c r="F216" s="13"/>
      <c r="G216" s="13"/>
      <c r="H216" s="13"/>
      <c r="I216" s="13"/>
      <c r="J216" s="13"/>
      <c r="K216" s="4"/>
      <c r="L216" s="4"/>
      <c r="M216" s="4"/>
      <c r="Q216" s="4"/>
      <c r="R216" s="4"/>
      <c r="S216" s="4"/>
      <c r="T216" s="4"/>
      <c r="U216" s="4"/>
      <c r="V216" s="4"/>
      <c r="W216" s="4"/>
      <c r="X216" s="4"/>
    </row>
    <row r="217" spans="3:24">
      <c r="C217" s="4"/>
      <c r="D217" s="13"/>
      <c r="E217" s="13"/>
      <c r="F217" s="13"/>
      <c r="G217" s="13"/>
      <c r="H217" s="13"/>
      <c r="I217" s="13"/>
      <c r="J217" s="13"/>
      <c r="K217" s="4"/>
      <c r="L217" s="4"/>
      <c r="M217" s="4"/>
      <c r="Q217" s="4"/>
      <c r="R217" s="4"/>
      <c r="S217" s="4"/>
      <c r="T217" s="4"/>
      <c r="U217" s="4"/>
      <c r="V217" s="4"/>
      <c r="W217" s="4"/>
      <c r="X217" s="4"/>
    </row>
    <row r="218" spans="3:24">
      <c r="C218" s="4"/>
      <c r="D218" s="13"/>
      <c r="E218" s="13"/>
      <c r="F218" s="13"/>
      <c r="G218" s="13"/>
      <c r="H218" s="13"/>
      <c r="I218" s="13"/>
      <c r="J218" s="13"/>
      <c r="K218" s="4"/>
      <c r="L218" s="4"/>
      <c r="M218" s="4"/>
      <c r="Q218" s="4"/>
      <c r="R218" s="4"/>
      <c r="S218" s="4"/>
      <c r="T218" s="4"/>
      <c r="U218" s="4"/>
      <c r="V218" s="4"/>
      <c r="W218" s="4"/>
      <c r="X218" s="4"/>
    </row>
    <row r="219" spans="3:24">
      <c r="C219" s="4"/>
      <c r="D219" s="13"/>
      <c r="E219" s="13"/>
      <c r="F219" s="13"/>
      <c r="G219" s="13"/>
      <c r="H219" s="13"/>
      <c r="I219" s="13"/>
      <c r="J219" s="13"/>
      <c r="K219" s="4"/>
      <c r="L219" s="4"/>
      <c r="M219" s="4"/>
      <c r="Q219" s="4"/>
      <c r="R219" s="4"/>
      <c r="S219" s="4"/>
      <c r="T219" s="4"/>
      <c r="U219" s="4"/>
      <c r="V219" s="4"/>
      <c r="W219" s="4"/>
      <c r="X219" s="4"/>
    </row>
    <row r="220" spans="3:24">
      <c r="C220" s="4"/>
      <c r="D220" s="13"/>
      <c r="E220" s="13"/>
      <c r="F220" s="13"/>
      <c r="G220" s="13"/>
      <c r="H220" s="13"/>
      <c r="I220" s="13"/>
      <c r="J220" s="13"/>
      <c r="K220" s="4"/>
      <c r="L220" s="4"/>
      <c r="M220" s="4"/>
      <c r="Q220" s="4"/>
      <c r="R220" s="4"/>
      <c r="S220" s="4"/>
      <c r="T220" s="4"/>
      <c r="U220" s="4"/>
      <c r="V220" s="4"/>
      <c r="W220" s="4"/>
      <c r="X220" s="4"/>
    </row>
    <row r="221" spans="3:24">
      <c r="C221" s="4"/>
      <c r="D221" s="13"/>
      <c r="E221" s="13"/>
      <c r="F221" s="13"/>
      <c r="G221" s="13"/>
      <c r="H221" s="13"/>
      <c r="I221" s="13"/>
      <c r="J221" s="13"/>
      <c r="K221" s="4"/>
      <c r="L221" s="4"/>
      <c r="M221" s="4"/>
      <c r="Q221" s="4"/>
      <c r="R221" s="4"/>
      <c r="S221" s="4"/>
      <c r="T221" s="4"/>
      <c r="U221" s="4"/>
      <c r="V221" s="4"/>
      <c r="W221" s="4"/>
      <c r="X221" s="4"/>
    </row>
    <row r="222" spans="3:24">
      <c r="C222" s="4"/>
      <c r="D222" s="13"/>
      <c r="E222" s="13"/>
      <c r="F222" s="13"/>
      <c r="G222" s="13"/>
      <c r="H222" s="13"/>
      <c r="I222" s="13"/>
      <c r="J222" s="13"/>
      <c r="K222" s="4"/>
      <c r="L222" s="4"/>
      <c r="M222" s="4"/>
      <c r="Q222" s="4"/>
      <c r="R222" s="4"/>
      <c r="S222" s="4"/>
      <c r="T222" s="4"/>
      <c r="U222" s="4"/>
      <c r="V222" s="4"/>
      <c r="W222" s="4"/>
      <c r="X222" s="4"/>
    </row>
    <row r="223" spans="3:24">
      <c r="C223" s="4"/>
      <c r="D223" s="13"/>
      <c r="E223" s="13"/>
      <c r="F223" s="13"/>
      <c r="G223" s="13"/>
      <c r="H223" s="13"/>
      <c r="I223" s="13"/>
      <c r="J223" s="13"/>
      <c r="K223" s="4"/>
      <c r="L223" s="4"/>
      <c r="M223" s="4"/>
      <c r="Q223" s="4"/>
      <c r="R223" s="4"/>
      <c r="S223" s="4"/>
      <c r="T223" s="4"/>
      <c r="U223" s="4"/>
      <c r="V223" s="4"/>
      <c r="W223" s="4"/>
      <c r="X223" s="4"/>
    </row>
    <row r="224" spans="3:24">
      <c r="C224" s="4"/>
      <c r="D224" s="13"/>
      <c r="E224" s="13"/>
      <c r="F224" s="13"/>
      <c r="G224" s="13"/>
      <c r="H224" s="13"/>
      <c r="I224" s="13"/>
      <c r="J224" s="13"/>
      <c r="K224" s="4"/>
      <c r="L224" s="4"/>
      <c r="M224" s="4"/>
      <c r="Q224" s="4"/>
      <c r="R224" s="4"/>
      <c r="S224" s="4"/>
      <c r="T224" s="4"/>
      <c r="U224" s="4"/>
      <c r="V224" s="4"/>
      <c r="W224" s="4"/>
      <c r="X224" s="4"/>
    </row>
    <row r="225" spans="3:24">
      <c r="C225" s="4"/>
      <c r="D225" s="13"/>
      <c r="E225" s="13"/>
      <c r="F225" s="13"/>
      <c r="G225" s="13"/>
      <c r="H225" s="13"/>
      <c r="I225" s="13"/>
      <c r="J225" s="13"/>
      <c r="K225" s="4"/>
      <c r="L225" s="4"/>
      <c r="M225" s="4"/>
      <c r="Q225" s="4"/>
      <c r="R225" s="4"/>
      <c r="S225" s="4"/>
      <c r="T225" s="4"/>
      <c r="U225" s="4"/>
      <c r="V225" s="4"/>
      <c r="W225" s="4"/>
      <c r="X225" s="4"/>
    </row>
    <row r="226" spans="3:24">
      <c r="C226" s="4"/>
      <c r="D226" s="13"/>
      <c r="E226" s="13"/>
      <c r="F226" s="13"/>
      <c r="G226" s="13"/>
      <c r="H226" s="13"/>
      <c r="I226" s="13"/>
      <c r="J226" s="13"/>
      <c r="K226" s="4"/>
      <c r="L226" s="4"/>
      <c r="M226" s="4"/>
      <c r="Q226" s="4"/>
      <c r="R226" s="4"/>
      <c r="S226" s="4"/>
      <c r="T226" s="4"/>
      <c r="U226" s="4"/>
      <c r="V226" s="4"/>
      <c r="W226" s="4"/>
      <c r="X226" s="4"/>
    </row>
    <row r="227" spans="3:24">
      <c r="C227" s="4"/>
      <c r="D227" s="13"/>
      <c r="E227" s="13"/>
      <c r="F227" s="13"/>
      <c r="G227" s="13"/>
      <c r="H227" s="13"/>
      <c r="I227" s="13"/>
      <c r="J227" s="13"/>
      <c r="K227" s="4"/>
      <c r="L227" s="4"/>
      <c r="M227" s="4"/>
      <c r="Q227" s="4"/>
      <c r="R227" s="4"/>
      <c r="S227" s="4"/>
      <c r="T227" s="4"/>
      <c r="U227" s="4"/>
      <c r="V227" s="4"/>
      <c r="W227" s="4"/>
      <c r="X227" s="4"/>
    </row>
    <row r="228" spans="3:24">
      <c r="C228" s="4"/>
      <c r="D228" s="13"/>
      <c r="E228" s="13"/>
      <c r="F228" s="13"/>
      <c r="G228" s="13"/>
      <c r="H228" s="13"/>
      <c r="I228" s="13"/>
      <c r="J228" s="13"/>
      <c r="K228" s="4"/>
      <c r="L228" s="4"/>
      <c r="M228" s="4"/>
      <c r="Q228" s="4"/>
      <c r="R228" s="4"/>
      <c r="S228" s="4"/>
      <c r="T228" s="4"/>
      <c r="U228" s="4"/>
      <c r="V228" s="4"/>
      <c r="W228" s="4"/>
      <c r="X228" s="4"/>
    </row>
    <row r="229" spans="3:24">
      <c r="C229" s="4"/>
      <c r="D229" s="13"/>
      <c r="E229" s="13"/>
      <c r="F229" s="13"/>
      <c r="G229" s="13"/>
      <c r="H229" s="13"/>
      <c r="I229" s="13"/>
      <c r="J229" s="13"/>
      <c r="K229" s="4"/>
      <c r="L229" s="4"/>
      <c r="M229" s="4"/>
      <c r="Q229" s="4"/>
      <c r="R229" s="4"/>
      <c r="S229" s="4"/>
      <c r="T229" s="4"/>
      <c r="U229" s="4"/>
      <c r="V229" s="4"/>
      <c r="W229" s="4"/>
      <c r="X229" s="4"/>
    </row>
    <row r="230" spans="3:24">
      <c r="C230" s="4"/>
      <c r="D230" s="13"/>
      <c r="E230" s="13"/>
      <c r="F230" s="13"/>
      <c r="G230" s="13"/>
      <c r="H230" s="13"/>
      <c r="I230" s="13"/>
      <c r="J230" s="13"/>
      <c r="K230" s="4"/>
      <c r="L230" s="4"/>
      <c r="M230" s="4"/>
      <c r="Q230" s="4"/>
      <c r="R230" s="4"/>
      <c r="S230" s="4"/>
      <c r="T230" s="4"/>
      <c r="U230" s="4"/>
      <c r="V230" s="4"/>
      <c r="W230" s="4"/>
      <c r="X230" s="4"/>
    </row>
    <row r="231" spans="3:24">
      <c r="C231" s="4"/>
      <c r="D231" s="13"/>
      <c r="E231" s="13"/>
      <c r="F231" s="13"/>
      <c r="G231" s="13"/>
      <c r="H231" s="13"/>
      <c r="I231" s="13"/>
      <c r="J231" s="13"/>
      <c r="K231" s="4"/>
      <c r="L231" s="4"/>
      <c r="M231" s="4"/>
      <c r="Q231" s="4"/>
      <c r="R231" s="4"/>
      <c r="S231" s="4"/>
      <c r="T231" s="4"/>
      <c r="U231" s="4"/>
      <c r="V231" s="4"/>
      <c r="W231" s="4"/>
      <c r="X231" s="4"/>
    </row>
    <row r="232" spans="3:24">
      <c r="C232" s="4"/>
      <c r="D232" s="13"/>
      <c r="E232" s="13"/>
      <c r="F232" s="13"/>
      <c r="G232" s="13"/>
      <c r="H232" s="13"/>
      <c r="I232" s="13"/>
      <c r="J232" s="13"/>
      <c r="K232" s="4"/>
      <c r="L232" s="4"/>
      <c r="M232" s="4"/>
      <c r="Q232" s="4"/>
      <c r="R232" s="4"/>
      <c r="S232" s="4"/>
      <c r="T232" s="4"/>
      <c r="U232" s="4"/>
      <c r="V232" s="4"/>
      <c r="W232" s="4"/>
      <c r="X232" s="4"/>
    </row>
    <row r="233" spans="3:24">
      <c r="C233" s="4"/>
      <c r="D233" s="13"/>
      <c r="E233" s="13"/>
      <c r="F233" s="13"/>
      <c r="G233" s="13"/>
      <c r="H233" s="13"/>
      <c r="I233" s="13"/>
      <c r="J233" s="13"/>
      <c r="K233" s="4"/>
      <c r="L233" s="4"/>
      <c r="M233" s="4"/>
      <c r="Q233" s="4"/>
      <c r="R233" s="4"/>
      <c r="S233" s="4"/>
      <c r="T233" s="4"/>
      <c r="U233" s="4"/>
      <c r="V233" s="4"/>
      <c r="W233" s="4"/>
      <c r="X233" s="4"/>
    </row>
    <row r="234" spans="3:24">
      <c r="C234" s="4"/>
      <c r="D234" s="13"/>
      <c r="E234" s="13"/>
      <c r="F234" s="13"/>
      <c r="G234" s="13"/>
      <c r="H234" s="13"/>
      <c r="I234" s="13"/>
      <c r="J234" s="13"/>
      <c r="K234" s="4"/>
      <c r="L234" s="4"/>
      <c r="M234" s="4"/>
      <c r="Q234" s="4"/>
      <c r="R234" s="4"/>
      <c r="S234" s="4"/>
      <c r="T234" s="4"/>
      <c r="U234" s="4"/>
      <c r="V234" s="4"/>
      <c r="W234" s="4"/>
      <c r="X234" s="4"/>
    </row>
    <row r="235" spans="3:24">
      <c r="C235" s="4"/>
      <c r="D235" s="13"/>
      <c r="E235" s="13"/>
      <c r="F235" s="13"/>
      <c r="G235" s="13"/>
      <c r="H235" s="13"/>
      <c r="I235" s="13"/>
      <c r="J235" s="13"/>
      <c r="K235" s="4"/>
      <c r="L235" s="4"/>
      <c r="M235" s="4"/>
      <c r="Q235" s="4"/>
      <c r="R235" s="4"/>
      <c r="S235" s="4"/>
      <c r="T235" s="4"/>
      <c r="U235" s="4"/>
      <c r="V235" s="4"/>
      <c r="W235" s="4"/>
      <c r="X235" s="4"/>
    </row>
    <row r="236" spans="3:24">
      <c r="C236" s="4"/>
      <c r="D236" s="13"/>
      <c r="E236" s="13"/>
      <c r="F236" s="13"/>
      <c r="G236" s="13"/>
      <c r="H236" s="13"/>
      <c r="I236" s="13"/>
      <c r="J236" s="13"/>
      <c r="K236" s="4"/>
      <c r="L236" s="4"/>
      <c r="M236" s="4"/>
      <c r="Q236" s="4"/>
      <c r="R236" s="4"/>
      <c r="S236" s="4"/>
      <c r="T236" s="4"/>
      <c r="U236" s="4"/>
      <c r="V236" s="4"/>
      <c r="W236" s="4"/>
      <c r="X236" s="4"/>
    </row>
    <row r="237" spans="3:24">
      <c r="C237" s="4"/>
      <c r="D237" s="13"/>
      <c r="E237" s="13"/>
      <c r="F237" s="13"/>
      <c r="G237" s="13"/>
      <c r="H237" s="13"/>
      <c r="I237" s="13"/>
      <c r="J237" s="13"/>
      <c r="K237" s="4"/>
      <c r="L237" s="4"/>
      <c r="M237" s="4"/>
      <c r="Q237" s="4"/>
      <c r="R237" s="4"/>
      <c r="S237" s="4"/>
      <c r="T237" s="4"/>
      <c r="U237" s="4"/>
      <c r="V237" s="4"/>
      <c r="W237" s="4"/>
      <c r="X237" s="4"/>
    </row>
    <row r="238" spans="3:24">
      <c r="C238" s="4"/>
      <c r="D238" s="13"/>
      <c r="E238" s="13"/>
      <c r="F238" s="13"/>
      <c r="G238" s="13"/>
      <c r="H238" s="13"/>
      <c r="I238" s="13"/>
      <c r="J238" s="13"/>
      <c r="K238" s="4"/>
      <c r="L238" s="4"/>
      <c r="M238" s="4"/>
      <c r="Q238" s="4"/>
      <c r="R238" s="4"/>
      <c r="S238" s="4"/>
      <c r="T238" s="4"/>
      <c r="U238" s="4"/>
      <c r="V238" s="4"/>
      <c r="W238" s="4"/>
      <c r="X238" s="4"/>
    </row>
    <row r="239" spans="3:24">
      <c r="C239" s="4"/>
      <c r="D239" s="13"/>
      <c r="E239" s="13"/>
      <c r="F239" s="13"/>
      <c r="G239" s="13"/>
      <c r="H239" s="13"/>
      <c r="I239" s="13"/>
      <c r="J239" s="13"/>
      <c r="K239" s="4"/>
      <c r="L239" s="4"/>
      <c r="M239" s="4"/>
      <c r="Q239" s="4"/>
      <c r="R239" s="4"/>
      <c r="S239" s="4"/>
      <c r="T239" s="4"/>
      <c r="U239" s="4"/>
      <c r="V239" s="4"/>
      <c r="W239" s="4"/>
      <c r="X239" s="4"/>
    </row>
    <row r="240" spans="3:24">
      <c r="C240" s="4"/>
      <c r="D240" s="13"/>
      <c r="E240" s="13"/>
      <c r="F240" s="13"/>
      <c r="G240" s="13"/>
      <c r="H240" s="13"/>
      <c r="I240" s="13"/>
      <c r="J240" s="13"/>
      <c r="K240" s="4"/>
      <c r="L240" s="4"/>
      <c r="M240" s="4"/>
      <c r="Q240" s="4"/>
      <c r="R240" s="4"/>
      <c r="S240" s="4"/>
      <c r="T240" s="4"/>
      <c r="U240" s="4"/>
      <c r="V240" s="4"/>
      <c r="W240" s="4"/>
      <c r="X240" s="4"/>
    </row>
    <row r="241" spans="3:24">
      <c r="C241" s="4"/>
      <c r="D241" s="13"/>
      <c r="E241" s="13"/>
      <c r="F241" s="13"/>
      <c r="G241" s="13"/>
      <c r="H241" s="13"/>
      <c r="I241" s="13"/>
      <c r="J241" s="13"/>
      <c r="K241" s="4"/>
      <c r="L241" s="4"/>
      <c r="M241" s="4"/>
      <c r="Q241" s="4"/>
      <c r="R241" s="4"/>
      <c r="S241" s="4"/>
      <c r="T241" s="4"/>
      <c r="U241" s="4"/>
      <c r="V241" s="4"/>
      <c r="W241" s="4"/>
      <c r="X241" s="4"/>
    </row>
    <row r="242" spans="3:24">
      <c r="C242" s="4"/>
      <c r="D242" s="13"/>
      <c r="E242" s="13"/>
      <c r="F242" s="13"/>
      <c r="G242" s="13"/>
      <c r="H242" s="13"/>
      <c r="I242" s="13"/>
      <c r="J242" s="13"/>
      <c r="K242" s="4"/>
      <c r="L242" s="4"/>
      <c r="M242" s="4"/>
      <c r="Q242" s="4"/>
      <c r="R242" s="4"/>
      <c r="S242" s="4"/>
      <c r="T242" s="4"/>
      <c r="U242" s="4"/>
      <c r="V242" s="4"/>
      <c r="W242" s="4"/>
      <c r="X242" s="4"/>
    </row>
    <row r="243" spans="3:24">
      <c r="C243" s="4"/>
      <c r="D243" s="13"/>
      <c r="E243" s="13"/>
      <c r="F243" s="13"/>
      <c r="G243" s="13"/>
      <c r="H243" s="13"/>
      <c r="I243" s="13"/>
      <c r="J243" s="13"/>
      <c r="K243" s="4"/>
      <c r="L243" s="4"/>
      <c r="M243" s="4"/>
      <c r="Q243" s="4"/>
      <c r="R243" s="4"/>
      <c r="S243" s="4"/>
      <c r="T243" s="4"/>
      <c r="U243" s="4"/>
      <c r="V243" s="4"/>
      <c r="W243" s="4"/>
      <c r="X243" s="4"/>
    </row>
    <row r="244" spans="3:24">
      <c r="C244" s="4"/>
      <c r="D244" s="13"/>
      <c r="E244" s="13"/>
      <c r="F244" s="13"/>
      <c r="G244" s="13"/>
      <c r="H244" s="13"/>
      <c r="I244" s="13"/>
      <c r="J244" s="13"/>
      <c r="K244" s="4"/>
      <c r="L244" s="4"/>
      <c r="M244" s="4"/>
      <c r="Q244" s="4"/>
      <c r="R244" s="4"/>
      <c r="S244" s="4"/>
      <c r="T244" s="4"/>
      <c r="U244" s="4"/>
      <c r="V244" s="4"/>
      <c r="W244" s="4"/>
      <c r="X244" s="4"/>
    </row>
    <row r="245" spans="3:24">
      <c r="C245" s="4"/>
      <c r="D245" s="13"/>
      <c r="E245" s="13"/>
      <c r="F245" s="13"/>
      <c r="G245" s="13"/>
      <c r="H245" s="13"/>
      <c r="I245" s="13"/>
      <c r="J245" s="13"/>
      <c r="K245" s="4"/>
      <c r="L245" s="4"/>
      <c r="M245" s="4"/>
      <c r="Q245" s="4"/>
      <c r="R245" s="4"/>
      <c r="S245" s="4"/>
      <c r="T245" s="4"/>
      <c r="U245" s="4"/>
      <c r="V245" s="4"/>
      <c r="W245" s="4"/>
      <c r="X245" s="4"/>
    </row>
    <row r="246" spans="3:24">
      <c r="C246" s="4"/>
      <c r="D246" s="13"/>
      <c r="E246" s="13"/>
      <c r="F246" s="13"/>
      <c r="G246" s="13"/>
      <c r="H246" s="13"/>
      <c r="I246" s="13"/>
      <c r="J246" s="13"/>
      <c r="K246" s="4"/>
      <c r="L246" s="4"/>
      <c r="M246" s="4"/>
      <c r="Q246" s="4"/>
      <c r="R246" s="4"/>
      <c r="S246" s="4"/>
      <c r="T246" s="4"/>
      <c r="U246" s="4"/>
      <c r="V246" s="4"/>
      <c r="W246" s="4"/>
      <c r="X246" s="4"/>
    </row>
    <row r="247" spans="3:24">
      <c r="C247" s="4"/>
      <c r="D247" s="13"/>
      <c r="E247" s="13"/>
      <c r="F247" s="13"/>
      <c r="G247" s="13"/>
      <c r="H247" s="13"/>
      <c r="I247" s="13"/>
      <c r="J247" s="13"/>
      <c r="K247" s="4"/>
      <c r="L247" s="4"/>
      <c r="M247" s="4"/>
      <c r="Q247" s="4"/>
      <c r="R247" s="4"/>
      <c r="S247" s="4"/>
      <c r="T247" s="4"/>
      <c r="U247" s="4"/>
      <c r="V247" s="4"/>
      <c r="W247" s="4"/>
      <c r="X247" s="4"/>
    </row>
    <row r="248" spans="3:24">
      <c r="C248" s="4"/>
      <c r="D248" s="13"/>
      <c r="E248" s="13"/>
      <c r="F248" s="13"/>
      <c r="G248" s="13"/>
      <c r="H248" s="13"/>
      <c r="I248" s="13"/>
      <c r="J248" s="13"/>
      <c r="K248" s="4"/>
      <c r="L248" s="4"/>
      <c r="M248" s="4"/>
      <c r="Q248" s="4"/>
      <c r="R248" s="4"/>
      <c r="S248" s="4"/>
      <c r="T248" s="4"/>
      <c r="U248" s="4"/>
      <c r="V248" s="4"/>
      <c r="W248" s="4"/>
      <c r="X248" s="4"/>
    </row>
    <row r="249" spans="3:24">
      <c r="C249" s="4"/>
      <c r="D249" s="13"/>
      <c r="E249" s="13"/>
      <c r="F249" s="13"/>
      <c r="G249" s="13"/>
      <c r="H249" s="13"/>
      <c r="I249" s="13"/>
      <c r="J249" s="13"/>
      <c r="K249" s="4"/>
      <c r="L249" s="4"/>
      <c r="M249" s="4"/>
      <c r="Q249" s="4"/>
      <c r="R249" s="4"/>
      <c r="S249" s="4"/>
      <c r="T249" s="4"/>
      <c r="U249" s="4"/>
      <c r="V249" s="4"/>
      <c r="W249" s="4"/>
      <c r="X249" s="4"/>
    </row>
    <row r="250" spans="3:24">
      <c r="C250" s="4"/>
      <c r="D250" s="13"/>
      <c r="E250" s="13"/>
      <c r="F250" s="13"/>
      <c r="G250" s="13"/>
      <c r="H250" s="13"/>
      <c r="I250" s="13"/>
      <c r="J250" s="13"/>
      <c r="K250" s="4"/>
      <c r="L250" s="4"/>
      <c r="M250" s="4"/>
      <c r="Q250" s="4"/>
      <c r="R250" s="4"/>
      <c r="S250" s="4"/>
      <c r="T250" s="4"/>
      <c r="U250" s="4"/>
      <c r="V250" s="4"/>
      <c r="W250" s="4"/>
      <c r="X250" s="4"/>
    </row>
    <row r="251" spans="3:24">
      <c r="C251" s="4"/>
      <c r="D251" s="13"/>
      <c r="E251" s="13"/>
      <c r="F251" s="13"/>
      <c r="G251" s="13"/>
      <c r="H251" s="13"/>
      <c r="I251" s="13"/>
      <c r="J251" s="13"/>
      <c r="K251" s="4"/>
      <c r="L251" s="4"/>
      <c r="M251" s="4"/>
      <c r="Q251" s="4"/>
      <c r="R251" s="4"/>
      <c r="S251" s="4"/>
      <c r="T251" s="4"/>
      <c r="U251" s="4"/>
      <c r="V251" s="4"/>
      <c r="W251" s="4"/>
      <c r="X251" s="4"/>
    </row>
    <row r="252" spans="3:24">
      <c r="C252" s="4"/>
      <c r="D252" s="13"/>
      <c r="E252" s="13"/>
      <c r="F252" s="13"/>
      <c r="G252" s="13"/>
      <c r="H252" s="13"/>
      <c r="I252" s="13"/>
      <c r="J252" s="13"/>
      <c r="K252" s="4"/>
      <c r="L252" s="4"/>
      <c r="M252" s="4"/>
      <c r="Q252" s="4"/>
      <c r="R252" s="4"/>
      <c r="S252" s="4"/>
      <c r="T252" s="4"/>
      <c r="U252" s="4"/>
      <c r="V252" s="4"/>
      <c r="W252" s="4"/>
      <c r="X252" s="4"/>
    </row>
    <row r="253" spans="3:24">
      <c r="C253" s="4"/>
      <c r="D253" s="13"/>
      <c r="E253" s="13"/>
      <c r="F253" s="13"/>
      <c r="G253" s="13"/>
      <c r="H253" s="13"/>
      <c r="I253" s="13"/>
      <c r="J253" s="13"/>
      <c r="K253" s="4"/>
      <c r="L253" s="4"/>
      <c r="M253" s="4"/>
      <c r="Q253" s="4"/>
      <c r="R253" s="4"/>
      <c r="S253" s="4"/>
      <c r="T253" s="4"/>
      <c r="U253" s="4"/>
      <c r="V253" s="4"/>
      <c r="W253" s="4"/>
      <c r="X253" s="4"/>
    </row>
    <row r="254" spans="3:24">
      <c r="C254" s="4"/>
      <c r="D254" s="13"/>
      <c r="E254" s="13"/>
      <c r="F254" s="13"/>
      <c r="G254" s="13"/>
      <c r="H254" s="13"/>
      <c r="I254" s="13"/>
      <c r="J254" s="13"/>
      <c r="K254" s="4"/>
      <c r="L254" s="4"/>
      <c r="M254" s="4"/>
      <c r="Q254" s="4"/>
      <c r="R254" s="4"/>
      <c r="S254" s="4"/>
      <c r="T254" s="4"/>
      <c r="U254" s="4"/>
      <c r="V254" s="4"/>
      <c r="W254" s="4"/>
      <c r="X254" s="4"/>
    </row>
    <row r="255" spans="3:24">
      <c r="C255" s="4"/>
      <c r="D255" s="13"/>
      <c r="E255" s="13"/>
      <c r="F255" s="13"/>
      <c r="G255" s="13"/>
      <c r="H255" s="13"/>
      <c r="I255" s="13"/>
      <c r="J255" s="13"/>
      <c r="K255" s="4"/>
      <c r="L255" s="4"/>
      <c r="M255" s="4"/>
      <c r="Q255" s="4"/>
      <c r="R255" s="4"/>
      <c r="S255" s="4"/>
      <c r="T255" s="4"/>
      <c r="U255" s="4"/>
      <c r="V255" s="4"/>
      <c r="W255" s="4"/>
      <c r="X255" s="4"/>
    </row>
    <row r="256" spans="3:24">
      <c r="C256" s="4"/>
      <c r="D256" s="13"/>
      <c r="E256" s="13"/>
      <c r="F256" s="13"/>
      <c r="G256" s="13"/>
      <c r="H256" s="13"/>
      <c r="I256" s="13"/>
      <c r="J256" s="13"/>
      <c r="K256" s="4"/>
      <c r="L256" s="4"/>
      <c r="M256" s="4"/>
      <c r="Q256" s="4"/>
      <c r="R256" s="4"/>
      <c r="S256" s="4"/>
      <c r="T256" s="4"/>
      <c r="U256" s="4"/>
      <c r="V256" s="4"/>
      <c r="W256" s="4"/>
      <c r="X256" s="4"/>
    </row>
    <row r="257" spans="3:24">
      <c r="C257" s="4"/>
      <c r="D257" s="13"/>
      <c r="E257" s="13"/>
      <c r="F257" s="13"/>
      <c r="G257" s="13"/>
      <c r="H257" s="13"/>
      <c r="I257" s="13"/>
      <c r="J257" s="13"/>
      <c r="K257" s="4"/>
      <c r="L257" s="4"/>
      <c r="M257" s="4"/>
      <c r="Q257" s="4"/>
      <c r="R257" s="4"/>
      <c r="S257" s="4"/>
      <c r="T257" s="4"/>
      <c r="U257" s="4"/>
      <c r="V257" s="4"/>
      <c r="W257" s="4"/>
      <c r="X257" s="4"/>
    </row>
    <row r="258" spans="3:24">
      <c r="C258" s="4"/>
      <c r="D258" s="13"/>
      <c r="E258" s="13"/>
      <c r="F258" s="13"/>
      <c r="G258" s="13"/>
      <c r="H258" s="13"/>
      <c r="I258" s="13"/>
      <c r="J258" s="13"/>
      <c r="K258" s="4"/>
      <c r="L258" s="4"/>
      <c r="M258" s="4"/>
      <c r="Q258" s="4"/>
      <c r="R258" s="4"/>
      <c r="S258" s="4"/>
      <c r="T258" s="4"/>
      <c r="U258" s="4"/>
      <c r="V258" s="4"/>
      <c r="W258" s="4"/>
      <c r="X258" s="4"/>
    </row>
    <row r="259" spans="3:24">
      <c r="C259" s="4"/>
      <c r="D259" s="13"/>
      <c r="E259" s="13"/>
      <c r="F259" s="13"/>
      <c r="G259" s="13"/>
      <c r="H259" s="13"/>
      <c r="I259" s="13"/>
      <c r="J259" s="13"/>
      <c r="K259" s="4"/>
      <c r="L259" s="4"/>
      <c r="M259" s="4"/>
      <c r="Q259" s="4"/>
      <c r="R259" s="4"/>
      <c r="S259" s="4"/>
      <c r="T259" s="4"/>
      <c r="U259" s="4"/>
      <c r="V259" s="4"/>
      <c r="W259" s="4"/>
      <c r="X259" s="4"/>
    </row>
    <row r="260" spans="3:24">
      <c r="C260" s="4"/>
      <c r="D260" s="13"/>
      <c r="E260" s="13"/>
      <c r="F260" s="13"/>
      <c r="G260" s="13"/>
      <c r="H260" s="13"/>
      <c r="I260" s="13"/>
      <c r="J260" s="13"/>
      <c r="K260" s="4"/>
      <c r="L260" s="4"/>
      <c r="M260" s="4"/>
      <c r="Q260" s="4"/>
      <c r="R260" s="4"/>
      <c r="S260" s="4"/>
      <c r="T260" s="4"/>
      <c r="U260" s="4"/>
      <c r="V260" s="4"/>
      <c r="W260" s="4"/>
      <c r="X260" s="4"/>
    </row>
    <row r="261" spans="3:24">
      <c r="C261" s="4"/>
      <c r="D261" s="13"/>
      <c r="E261" s="13"/>
      <c r="F261" s="13"/>
      <c r="G261" s="13"/>
      <c r="H261" s="13"/>
      <c r="I261" s="13"/>
      <c r="J261" s="13"/>
      <c r="K261" s="4"/>
      <c r="L261" s="4"/>
      <c r="M261" s="4"/>
      <c r="Q261" s="4"/>
      <c r="R261" s="4"/>
      <c r="S261" s="4"/>
      <c r="T261" s="4"/>
      <c r="U261" s="4"/>
      <c r="V261" s="4"/>
      <c r="W261" s="4"/>
      <c r="X261" s="4"/>
    </row>
    <row r="262" spans="3:24">
      <c r="C262" s="4"/>
      <c r="D262" s="13"/>
      <c r="E262" s="13"/>
      <c r="F262" s="13"/>
      <c r="G262" s="13"/>
      <c r="H262" s="13"/>
      <c r="I262" s="13"/>
      <c r="J262" s="13"/>
      <c r="K262" s="4"/>
      <c r="L262" s="4"/>
      <c r="M262" s="4"/>
      <c r="Q262" s="4"/>
      <c r="R262" s="4"/>
      <c r="S262" s="4"/>
      <c r="T262" s="4"/>
      <c r="U262" s="4"/>
      <c r="V262" s="4"/>
      <c r="W262" s="4"/>
      <c r="X262" s="4"/>
    </row>
    <row r="263" spans="3:24">
      <c r="C263" s="4"/>
      <c r="D263" s="13"/>
      <c r="E263" s="13"/>
      <c r="F263" s="13"/>
      <c r="G263" s="13"/>
      <c r="H263" s="13"/>
      <c r="I263" s="13"/>
      <c r="J263" s="13"/>
      <c r="K263" s="4"/>
      <c r="L263" s="4"/>
      <c r="M263" s="4"/>
      <c r="Q263" s="4"/>
      <c r="R263" s="4"/>
      <c r="S263" s="4"/>
      <c r="T263" s="4"/>
      <c r="U263" s="4"/>
      <c r="V263" s="4"/>
      <c r="W263" s="4"/>
      <c r="X263" s="4"/>
    </row>
    <row r="264" spans="3:24">
      <c r="C264" s="4"/>
      <c r="D264" s="13"/>
      <c r="E264" s="13"/>
      <c r="F264" s="13"/>
      <c r="G264" s="13"/>
      <c r="H264" s="13"/>
      <c r="I264" s="13"/>
      <c r="J264" s="13"/>
      <c r="K264" s="4"/>
      <c r="L264" s="4"/>
      <c r="M264" s="4"/>
      <c r="Q264" s="4"/>
      <c r="R264" s="4"/>
      <c r="S264" s="4"/>
      <c r="T264" s="4"/>
      <c r="U264" s="4"/>
      <c r="V264" s="4"/>
      <c r="W264" s="4"/>
      <c r="X264" s="4"/>
    </row>
    <row r="265" spans="3:24">
      <c r="C265" s="4"/>
      <c r="D265" s="13"/>
      <c r="E265" s="13"/>
      <c r="F265" s="13"/>
      <c r="G265" s="13"/>
      <c r="H265" s="13"/>
      <c r="I265" s="13"/>
      <c r="J265" s="13"/>
      <c r="K265" s="4"/>
      <c r="L265" s="4"/>
      <c r="M265" s="4"/>
      <c r="Q265" s="4"/>
      <c r="R265" s="4"/>
      <c r="S265" s="4"/>
      <c r="T265" s="4"/>
      <c r="U265" s="4"/>
      <c r="V265" s="4"/>
      <c r="W265" s="4"/>
      <c r="X265" s="4"/>
    </row>
    <row r="266" spans="3:24">
      <c r="C266" s="4"/>
      <c r="D266" s="13"/>
      <c r="E266" s="13"/>
      <c r="F266" s="13"/>
      <c r="G266" s="13"/>
      <c r="H266" s="13"/>
      <c r="I266" s="13"/>
      <c r="J266" s="13"/>
      <c r="K266" s="4"/>
      <c r="L266" s="4"/>
      <c r="M266" s="4"/>
      <c r="Q266" s="4"/>
      <c r="R266" s="4"/>
      <c r="S266" s="4"/>
      <c r="T266" s="4"/>
      <c r="U266" s="4"/>
      <c r="V266" s="4"/>
      <c r="W266" s="4"/>
      <c r="X266" s="4"/>
    </row>
    <row r="267" spans="3:24">
      <c r="C267" s="4"/>
      <c r="D267" s="13"/>
      <c r="E267" s="13"/>
      <c r="F267" s="13"/>
      <c r="G267" s="13"/>
      <c r="H267" s="13"/>
      <c r="I267" s="13"/>
      <c r="J267" s="13"/>
      <c r="K267" s="4"/>
      <c r="L267" s="4"/>
      <c r="M267" s="4"/>
      <c r="Q267" s="4"/>
      <c r="R267" s="4"/>
      <c r="S267" s="4"/>
      <c r="T267" s="4"/>
      <c r="U267" s="4"/>
      <c r="V267" s="4"/>
      <c r="W267" s="4"/>
      <c r="X267" s="4"/>
    </row>
    <row r="268" spans="3:24">
      <c r="C268" s="4"/>
      <c r="D268" s="13"/>
      <c r="E268" s="13"/>
      <c r="F268" s="13"/>
      <c r="G268" s="13"/>
      <c r="H268" s="13"/>
      <c r="I268" s="13"/>
      <c r="J268" s="13"/>
      <c r="K268" s="4"/>
      <c r="L268" s="4"/>
      <c r="M268" s="4"/>
      <c r="Q268" s="4"/>
      <c r="R268" s="4"/>
      <c r="S268" s="4"/>
      <c r="T268" s="4"/>
      <c r="U268" s="4"/>
      <c r="V268" s="4"/>
      <c r="W268" s="4"/>
      <c r="X268" s="4"/>
    </row>
    <row r="269" spans="3:24">
      <c r="C269" s="4"/>
      <c r="D269" s="13"/>
      <c r="E269" s="13"/>
      <c r="F269" s="13"/>
      <c r="G269" s="13"/>
      <c r="H269" s="13"/>
      <c r="I269" s="13"/>
      <c r="J269" s="13"/>
      <c r="K269" s="4"/>
      <c r="L269" s="4"/>
      <c r="M269" s="4"/>
      <c r="Q269" s="4"/>
      <c r="R269" s="4"/>
      <c r="S269" s="4"/>
      <c r="T269" s="4"/>
      <c r="U269" s="4"/>
      <c r="V269" s="4"/>
      <c r="W269" s="4"/>
      <c r="X269" s="4"/>
    </row>
    <row r="270" spans="3:24">
      <c r="C270" s="4"/>
      <c r="D270" s="13"/>
      <c r="E270" s="13"/>
      <c r="F270" s="13"/>
      <c r="G270" s="13"/>
      <c r="H270" s="13"/>
      <c r="I270" s="13"/>
      <c r="J270" s="13"/>
      <c r="K270" s="4"/>
      <c r="L270" s="4"/>
      <c r="M270" s="4"/>
      <c r="Q270" s="4"/>
      <c r="R270" s="4"/>
      <c r="S270" s="4"/>
      <c r="T270" s="4"/>
      <c r="U270" s="4"/>
      <c r="V270" s="4"/>
      <c r="W270" s="4"/>
      <c r="X270" s="4"/>
    </row>
    <row r="271" spans="3:24">
      <c r="C271" s="4"/>
      <c r="D271" s="13"/>
      <c r="E271" s="13"/>
      <c r="F271" s="13"/>
      <c r="G271" s="13"/>
      <c r="H271" s="13"/>
      <c r="I271" s="13"/>
      <c r="J271" s="13"/>
      <c r="K271" s="4"/>
      <c r="L271" s="4"/>
      <c r="M271" s="4"/>
      <c r="Q271" s="4"/>
      <c r="R271" s="4"/>
      <c r="S271" s="4"/>
      <c r="T271" s="4"/>
      <c r="U271" s="4"/>
      <c r="V271" s="4"/>
      <c r="W271" s="4"/>
      <c r="X271" s="4"/>
    </row>
    <row r="272" spans="3:24">
      <c r="C272" s="4"/>
      <c r="D272" s="13"/>
      <c r="E272" s="13"/>
      <c r="F272" s="13"/>
      <c r="G272" s="13"/>
      <c r="H272" s="13"/>
      <c r="I272" s="13"/>
      <c r="J272" s="13"/>
      <c r="K272" s="4"/>
      <c r="L272" s="4"/>
      <c r="M272" s="4"/>
      <c r="Q272" s="4"/>
      <c r="R272" s="4"/>
      <c r="S272" s="4"/>
      <c r="T272" s="4"/>
      <c r="U272" s="4"/>
      <c r="V272" s="4"/>
      <c r="W272" s="4"/>
      <c r="X272" s="4"/>
    </row>
    <row r="273" spans="3:24">
      <c r="C273" s="4"/>
      <c r="D273" s="13"/>
      <c r="E273" s="13"/>
      <c r="F273" s="13"/>
      <c r="G273" s="13"/>
      <c r="H273" s="13"/>
      <c r="I273" s="13"/>
      <c r="J273" s="13"/>
      <c r="K273" s="4"/>
      <c r="L273" s="4"/>
      <c r="M273" s="4"/>
      <c r="Q273" s="4"/>
      <c r="R273" s="4"/>
      <c r="S273" s="4"/>
      <c r="T273" s="4"/>
      <c r="U273" s="4"/>
      <c r="V273" s="4"/>
      <c r="W273" s="4"/>
      <c r="X273" s="4"/>
    </row>
    <row r="274" spans="3:24">
      <c r="C274" s="4"/>
      <c r="D274" s="13"/>
      <c r="E274" s="13"/>
      <c r="F274" s="13"/>
      <c r="G274" s="13"/>
      <c r="H274" s="13"/>
      <c r="I274" s="13"/>
      <c r="J274" s="13"/>
      <c r="K274" s="4"/>
      <c r="L274" s="4"/>
      <c r="M274" s="4"/>
      <c r="Q274" s="4"/>
      <c r="R274" s="4"/>
      <c r="S274" s="4"/>
      <c r="T274" s="4"/>
      <c r="U274" s="4"/>
      <c r="V274" s="4"/>
      <c r="W274" s="4"/>
      <c r="X274" s="4"/>
    </row>
    <row r="275" spans="3:24">
      <c r="C275" s="4"/>
      <c r="D275" s="13"/>
      <c r="E275" s="13"/>
      <c r="F275" s="13"/>
      <c r="G275" s="13"/>
      <c r="H275" s="13"/>
      <c r="I275" s="13"/>
      <c r="J275" s="13"/>
      <c r="K275" s="4"/>
      <c r="L275" s="4"/>
      <c r="M275" s="4"/>
      <c r="Q275" s="4"/>
      <c r="R275" s="4"/>
      <c r="S275" s="4"/>
      <c r="T275" s="4"/>
      <c r="U275" s="4"/>
      <c r="V275" s="4"/>
      <c r="W275" s="4"/>
      <c r="X275" s="4"/>
    </row>
    <row r="276" spans="3:24">
      <c r="C276" s="4"/>
      <c r="D276" s="13"/>
      <c r="E276" s="13"/>
      <c r="F276" s="13"/>
      <c r="G276" s="13"/>
      <c r="H276" s="13"/>
      <c r="I276" s="13"/>
      <c r="J276" s="13"/>
      <c r="K276" s="4"/>
      <c r="L276" s="4"/>
      <c r="M276" s="4"/>
      <c r="Q276" s="4"/>
      <c r="R276" s="4"/>
      <c r="S276" s="4"/>
      <c r="T276" s="4"/>
      <c r="U276" s="4"/>
      <c r="V276" s="4"/>
      <c r="W276" s="4"/>
      <c r="X276" s="4"/>
    </row>
    <row r="277" spans="3:24">
      <c r="C277" s="4"/>
      <c r="D277" s="13"/>
      <c r="E277" s="13"/>
      <c r="F277" s="13"/>
      <c r="G277" s="13"/>
      <c r="H277" s="13"/>
      <c r="I277" s="13"/>
      <c r="J277" s="13"/>
      <c r="K277" s="4"/>
      <c r="L277" s="4"/>
      <c r="M277" s="4"/>
      <c r="Q277" s="4"/>
      <c r="R277" s="4"/>
      <c r="S277" s="4"/>
      <c r="T277" s="4"/>
      <c r="U277" s="4"/>
      <c r="V277" s="4"/>
      <c r="W277" s="4"/>
      <c r="X277" s="4"/>
    </row>
    <row r="278" spans="3:24">
      <c r="C278" s="4"/>
      <c r="D278" s="13"/>
      <c r="E278" s="13"/>
      <c r="F278" s="13"/>
      <c r="G278" s="13"/>
      <c r="H278" s="13"/>
      <c r="I278" s="13"/>
      <c r="J278" s="13"/>
      <c r="K278" s="4"/>
      <c r="L278" s="4"/>
      <c r="M278" s="4"/>
      <c r="Q278" s="4"/>
      <c r="R278" s="4"/>
      <c r="S278" s="4"/>
      <c r="T278" s="4"/>
      <c r="U278" s="4"/>
      <c r="V278" s="4"/>
      <c r="W278" s="4"/>
      <c r="X278" s="4"/>
    </row>
    <row r="279" spans="3:24">
      <c r="C279" s="4"/>
      <c r="D279" s="13"/>
      <c r="E279" s="13"/>
      <c r="F279" s="13"/>
      <c r="G279" s="13"/>
      <c r="H279" s="13"/>
      <c r="I279" s="13"/>
      <c r="J279" s="13"/>
      <c r="K279" s="4"/>
      <c r="L279" s="4"/>
      <c r="M279" s="4"/>
      <c r="Q279" s="4"/>
      <c r="R279" s="4"/>
      <c r="S279" s="4"/>
      <c r="T279" s="4"/>
      <c r="U279" s="4"/>
      <c r="V279" s="4"/>
      <c r="W279" s="4"/>
      <c r="X279" s="4"/>
    </row>
    <row r="280" spans="3:24">
      <c r="C280" s="4"/>
      <c r="D280" s="13"/>
      <c r="E280" s="13"/>
      <c r="F280" s="13"/>
      <c r="G280" s="13"/>
      <c r="H280" s="13"/>
      <c r="I280" s="13"/>
      <c r="J280" s="13"/>
      <c r="K280" s="4"/>
      <c r="L280" s="4"/>
      <c r="M280" s="4"/>
      <c r="Q280" s="4"/>
      <c r="R280" s="4"/>
      <c r="S280" s="4"/>
      <c r="T280" s="4"/>
      <c r="U280" s="4"/>
      <c r="V280" s="4"/>
      <c r="W280" s="4"/>
      <c r="X280" s="4"/>
    </row>
    <row r="281" spans="3:24">
      <c r="C281" s="4"/>
      <c r="D281" s="13"/>
      <c r="E281" s="13"/>
      <c r="F281" s="13"/>
      <c r="G281" s="13"/>
      <c r="H281" s="13"/>
      <c r="I281" s="13"/>
      <c r="J281" s="13"/>
      <c r="K281" s="4"/>
      <c r="L281" s="4"/>
      <c r="M281" s="4"/>
      <c r="Q281" s="4"/>
      <c r="R281" s="4"/>
      <c r="S281" s="4"/>
      <c r="T281" s="4"/>
      <c r="U281" s="4"/>
      <c r="V281" s="4"/>
      <c r="W281" s="4"/>
      <c r="X281" s="4"/>
    </row>
    <row r="282" spans="3:24">
      <c r="C282" s="4"/>
      <c r="D282" s="13"/>
      <c r="E282" s="13"/>
      <c r="F282" s="13"/>
      <c r="G282" s="13"/>
      <c r="H282" s="13"/>
      <c r="I282" s="13"/>
      <c r="J282" s="13"/>
      <c r="K282" s="4"/>
      <c r="L282" s="4"/>
      <c r="M282" s="4"/>
      <c r="Q282" s="4"/>
      <c r="R282" s="4"/>
      <c r="S282" s="4"/>
      <c r="T282" s="4"/>
      <c r="U282" s="4"/>
      <c r="V282" s="4"/>
      <c r="W282" s="4"/>
      <c r="X282" s="4"/>
    </row>
    <row r="283" spans="3:24">
      <c r="C283" s="4"/>
      <c r="D283" s="13"/>
      <c r="E283" s="13"/>
      <c r="F283" s="13"/>
      <c r="G283" s="13"/>
      <c r="H283" s="13"/>
      <c r="I283" s="13"/>
      <c r="J283" s="13"/>
      <c r="K283" s="4"/>
      <c r="L283" s="4"/>
      <c r="M283" s="4"/>
      <c r="Q283" s="4"/>
      <c r="R283" s="4"/>
      <c r="S283" s="4"/>
      <c r="T283" s="4"/>
      <c r="U283" s="4"/>
      <c r="V283" s="4"/>
      <c r="W283" s="4"/>
      <c r="X283" s="4"/>
    </row>
    <row r="284" spans="3:24">
      <c r="C284" s="4"/>
      <c r="D284" s="13"/>
      <c r="E284" s="13"/>
      <c r="F284" s="13"/>
      <c r="G284" s="13"/>
      <c r="H284" s="13"/>
      <c r="I284" s="13"/>
      <c r="J284" s="13"/>
      <c r="K284" s="4"/>
      <c r="L284" s="4"/>
      <c r="M284" s="4"/>
      <c r="Q284" s="4"/>
      <c r="R284" s="4"/>
      <c r="S284" s="4"/>
      <c r="T284" s="4"/>
      <c r="U284" s="4"/>
      <c r="V284" s="4"/>
      <c r="W284" s="4"/>
      <c r="X284" s="4"/>
    </row>
    <row r="285" spans="3:24">
      <c r="C285" s="4"/>
      <c r="D285" s="13"/>
      <c r="E285" s="13"/>
      <c r="F285" s="13"/>
      <c r="G285" s="13"/>
      <c r="H285" s="13"/>
      <c r="I285" s="13"/>
      <c r="J285" s="13"/>
      <c r="K285" s="4"/>
      <c r="L285" s="4"/>
      <c r="M285" s="4"/>
      <c r="Q285" s="4"/>
      <c r="R285" s="4"/>
      <c r="S285" s="4"/>
      <c r="T285" s="4"/>
      <c r="U285" s="4"/>
      <c r="V285" s="4"/>
      <c r="W285" s="4"/>
      <c r="X285" s="4"/>
    </row>
    <row r="286" spans="3:24">
      <c r="C286" s="4"/>
      <c r="D286" s="13"/>
      <c r="E286" s="13"/>
      <c r="F286" s="13"/>
      <c r="G286" s="13"/>
      <c r="H286" s="13"/>
      <c r="I286" s="13"/>
      <c r="J286" s="13"/>
      <c r="K286" s="4"/>
      <c r="L286" s="4"/>
      <c r="M286" s="4"/>
      <c r="Q286" s="4"/>
      <c r="R286" s="4"/>
      <c r="S286" s="4"/>
      <c r="T286" s="4"/>
      <c r="U286" s="4"/>
      <c r="V286" s="4"/>
      <c r="W286" s="4"/>
      <c r="X286" s="4"/>
    </row>
    <row r="287" spans="3:24">
      <c r="C287" s="4"/>
      <c r="D287" s="13"/>
      <c r="E287" s="13"/>
      <c r="F287" s="13"/>
      <c r="G287" s="13"/>
      <c r="H287" s="13"/>
      <c r="I287" s="13"/>
      <c r="J287" s="13"/>
      <c r="K287" s="4"/>
      <c r="L287" s="4"/>
      <c r="M287" s="4"/>
      <c r="Q287" s="4"/>
      <c r="R287" s="4"/>
      <c r="S287" s="4"/>
      <c r="T287" s="4"/>
      <c r="U287" s="4"/>
      <c r="V287" s="4"/>
      <c r="W287" s="4"/>
      <c r="X287" s="4"/>
    </row>
    <row r="288" spans="3:24">
      <c r="C288" s="4"/>
      <c r="D288" s="13"/>
      <c r="E288" s="13"/>
      <c r="F288" s="13"/>
      <c r="G288" s="13"/>
      <c r="H288" s="13"/>
      <c r="I288" s="13"/>
      <c r="J288" s="13"/>
      <c r="K288" s="4"/>
      <c r="L288" s="4"/>
      <c r="M288" s="4"/>
      <c r="Q288" s="4"/>
      <c r="R288" s="4"/>
      <c r="S288" s="4"/>
      <c r="T288" s="4"/>
      <c r="U288" s="4"/>
      <c r="V288" s="4"/>
      <c r="W288" s="4"/>
      <c r="X288" s="4"/>
    </row>
    <row r="289" spans="3:24">
      <c r="C289" s="4"/>
      <c r="D289" s="13"/>
      <c r="E289" s="13"/>
      <c r="F289" s="13"/>
      <c r="G289" s="13"/>
      <c r="H289" s="13"/>
      <c r="I289" s="13"/>
      <c r="J289" s="13"/>
      <c r="K289" s="4"/>
      <c r="L289" s="4"/>
      <c r="M289" s="4"/>
      <c r="Q289" s="4"/>
      <c r="R289" s="4"/>
      <c r="S289" s="4"/>
      <c r="T289" s="4"/>
      <c r="U289" s="4"/>
      <c r="V289" s="4"/>
      <c r="W289" s="4"/>
      <c r="X289" s="4"/>
    </row>
    <row r="290" spans="3:24">
      <c r="C290" s="4"/>
      <c r="D290" s="13"/>
      <c r="E290" s="13"/>
      <c r="F290" s="13"/>
      <c r="G290" s="13"/>
      <c r="H290" s="13"/>
      <c r="I290" s="13"/>
      <c r="J290" s="13"/>
      <c r="K290" s="4"/>
      <c r="L290" s="4"/>
      <c r="M290" s="4"/>
      <c r="Q290" s="4"/>
      <c r="R290" s="4"/>
      <c r="S290" s="4"/>
      <c r="T290" s="4"/>
      <c r="U290" s="4"/>
      <c r="V290" s="4"/>
      <c r="W290" s="4"/>
      <c r="X290" s="4"/>
    </row>
    <row r="291" spans="3:24">
      <c r="C291" s="4"/>
      <c r="D291" s="13"/>
      <c r="E291" s="13"/>
      <c r="F291" s="13"/>
      <c r="G291" s="13"/>
      <c r="H291" s="13"/>
      <c r="I291" s="13"/>
      <c r="J291" s="13"/>
      <c r="K291" s="4"/>
      <c r="L291" s="4"/>
      <c r="M291" s="4"/>
      <c r="Q291" s="4"/>
      <c r="R291" s="4"/>
      <c r="S291" s="4"/>
      <c r="T291" s="4"/>
      <c r="U291" s="4"/>
      <c r="V291" s="4"/>
      <c r="W291" s="4"/>
      <c r="X291" s="4"/>
    </row>
    <row r="292" spans="3:24">
      <c r="C292" s="4"/>
      <c r="D292" s="13"/>
      <c r="E292" s="13"/>
      <c r="F292" s="13"/>
      <c r="G292" s="13"/>
      <c r="H292" s="13"/>
      <c r="I292" s="13"/>
      <c r="J292" s="13"/>
      <c r="K292" s="4"/>
      <c r="L292" s="4"/>
      <c r="M292" s="4"/>
      <c r="Q292" s="4"/>
      <c r="R292" s="4"/>
      <c r="S292" s="4"/>
      <c r="T292" s="4"/>
      <c r="U292" s="4"/>
      <c r="V292" s="4"/>
      <c r="W292" s="4"/>
      <c r="X292" s="4"/>
    </row>
    <row r="293" spans="3:24">
      <c r="C293" s="4"/>
      <c r="D293" s="13"/>
      <c r="E293" s="13"/>
      <c r="F293" s="13"/>
      <c r="G293" s="13"/>
      <c r="H293" s="13"/>
      <c r="I293" s="13"/>
      <c r="J293" s="13"/>
      <c r="K293" s="4"/>
      <c r="L293" s="4"/>
      <c r="M293" s="4"/>
      <c r="Q293" s="4"/>
      <c r="R293" s="4"/>
      <c r="S293" s="4"/>
      <c r="T293" s="4"/>
      <c r="U293" s="4"/>
      <c r="V293" s="4"/>
      <c r="W293" s="4"/>
      <c r="X293" s="4"/>
    </row>
    <row r="294" spans="3:24">
      <c r="C294" s="4"/>
      <c r="D294" s="13"/>
      <c r="E294" s="13"/>
      <c r="F294" s="13"/>
      <c r="G294" s="13"/>
      <c r="H294" s="13"/>
      <c r="I294" s="13"/>
      <c r="J294" s="13"/>
      <c r="K294" s="4"/>
      <c r="L294" s="4"/>
      <c r="M294" s="4"/>
      <c r="Q294" s="4"/>
      <c r="R294" s="4"/>
      <c r="S294" s="4"/>
      <c r="T294" s="4"/>
      <c r="U294" s="4"/>
      <c r="V294" s="4"/>
      <c r="W294" s="4"/>
      <c r="X294" s="4"/>
    </row>
    <row r="295" spans="3:24">
      <c r="C295" s="4"/>
      <c r="D295" s="13"/>
      <c r="E295" s="13"/>
      <c r="F295" s="13"/>
      <c r="G295" s="13"/>
      <c r="H295" s="13"/>
      <c r="I295" s="13"/>
      <c r="J295" s="13"/>
      <c r="K295" s="4"/>
      <c r="L295" s="4"/>
      <c r="M295" s="4"/>
      <c r="Q295" s="4"/>
      <c r="R295" s="4"/>
      <c r="S295" s="4"/>
      <c r="T295" s="4"/>
      <c r="U295" s="4"/>
      <c r="V295" s="4"/>
      <c r="W295" s="4"/>
      <c r="X295" s="4"/>
    </row>
    <row r="296" spans="3:24">
      <c r="C296" s="4"/>
      <c r="D296" s="13"/>
      <c r="E296" s="13"/>
      <c r="F296" s="13"/>
      <c r="G296" s="13"/>
      <c r="H296" s="13"/>
      <c r="I296" s="13"/>
      <c r="J296" s="13"/>
      <c r="K296" s="4"/>
      <c r="L296" s="4"/>
      <c r="M296" s="4"/>
      <c r="Q296" s="4"/>
      <c r="R296" s="4"/>
      <c r="S296" s="4"/>
      <c r="T296" s="4"/>
      <c r="U296" s="4"/>
      <c r="V296" s="4"/>
      <c r="W296" s="4"/>
      <c r="X296" s="4"/>
    </row>
    <row r="297" spans="3:24">
      <c r="C297" s="4"/>
      <c r="D297" s="13"/>
      <c r="E297" s="13"/>
      <c r="F297" s="13"/>
      <c r="G297" s="13"/>
      <c r="H297" s="13"/>
      <c r="I297" s="13"/>
      <c r="J297" s="13"/>
      <c r="K297" s="4"/>
      <c r="L297" s="4"/>
      <c r="M297" s="4"/>
      <c r="Q297" s="4"/>
      <c r="R297" s="4"/>
      <c r="S297" s="4"/>
      <c r="T297" s="4"/>
      <c r="U297" s="4"/>
      <c r="V297" s="4"/>
      <c r="W297" s="4"/>
      <c r="X297" s="4"/>
    </row>
    <row r="298" spans="3:24">
      <c r="C298" s="4"/>
      <c r="D298" s="13"/>
      <c r="E298" s="13"/>
      <c r="F298" s="13"/>
      <c r="G298" s="13"/>
      <c r="H298" s="13"/>
      <c r="I298" s="13"/>
      <c r="J298" s="13"/>
      <c r="K298" s="4"/>
      <c r="L298" s="4"/>
      <c r="M298" s="4"/>
      <c r="Q298" s="4"/>
      <c r="R298" s="4"/>
      <c r="S298" s="4"/>
      <c r="T298" s="4"/>
      <c r="U298" s="4"/>
      <c r="V298" s="4"/>
      <c r="W298" s="4"/>
      <c r="X298" s="4"/>
    </row>
    <row r="299" spans="3:24">
      <c r="C299" s="4"/>
      <c r="D299" s="13"/>
      <c r="E299" s="13"/>
      <c r="F299" s="13"/>
      <c r="G299" s="13"/>
      <c r="H299" s="13"/>
      <c r="I299" s="13"/>
      <c r="J299" s="13"/>
      <c r="K299" s="4"/>
      <c r="L299" s="4"/>
      <c r="M299" s="4"/>
      <c r="Q299" s="4"/>
      <c r="R299" s="4"/>
      <c r="S299" s="4"/>
      <c r="T299" s="4"/>
      <c r="U299" s="4"/>
      <c r="V299" s="4"/>
      <c r="W299" s="4"/>
      <c r="X299" s="4"/>
    </row>
    <row r="300" spans="3:24">
      <c r="C300" s="4"/>
      <c r="D300" s="13"/>
      <c r="E300" s="13"/>
      <c r="F300" s="13"/>
      <c r="G300" s="13"/>
      <c r="H300" s="13"/>
      <c r="I300" s="13"/>
      <c r="J300" s="13"/>
      <c r="K300" s="4"/>
      <c r="L300" s="4"/>
      <c r="M300" s="4"/>
      <c r="Q300" s="4"/>
      <c r="R300" s="4"/>
      <c r="S300" s="4"/>
      <c r="T300" s="4"/>
      <c r="U300" s="4"/>
      <c r="V300" s="4"/>
      <c r="W300" s="4"/>
      <c r="X300" s="4"/>
    </row>
    <row r="301" spans="3:24">
      <c r="C301" s="4"/>
      <c r="D301" s="13"/>
      <c r="E301" s="13"/>
      <c r="F301" s="13"/>
      <c r="G301" s="13"/>
      <c r="H301" s="13"/>
      <c r="I301" s="13"/>
      <c r="J301" s="13"/>
      <c r="K301" s="4"/>
      <c r="L301" s="4"/>
      <c r="M301" s="4"/>
      <c r="Q301" s="4"/>
      <c r="R301" s="4"/>
      <c r="S301" s="4"/>
      <c r="T301" s="4"/>
      <c r="U301" s="4"/>
      <c r="V301" s="4"/>
      <c r="W301" s="4"/>
      <c r="X301" s="4"/>
    </row>
    <row r="302" spans="3:24">
      <c r="C302" s="4"/>
      <c r="D302" s="13"/>
      <c r="E302" s="13"/>
      <c r="F302" s="13"/>
      <c r="G302" s="13"/>
      <c r="H302" s="13"/>
      <c r="I302" s="13"/>
      <c r="J302" s="13"/>
      <c r="K302" s="4"/>
      <c r="L302" s="4"/>
      <c r="M302" s="4"/>
      <c r="Q302" s="4"/>
      <c r="R302" s="4"/>
      <c r="S302" s="4"/>
      <c r="T302" s="4"/>
      <c r="U302" s="4"/>
      <c r="V302" s="4"/>
      <c r="W302" s="4"/>
      <c r="X302" s="4"/>
    </row>
    <row r="303" spans="3:24">
      <c r="C303" s="4"/>
      <c r="D303" s="13"/>
      <c r="E303" s="13"/>
      <c r="F303" s="13"/>
      <c r="G303" s="13"/>
      <c r="H303" s="13"/>
      <c r="I303" s="13"/>
      <c r="J303" s="13"/>
      <c r="K303" s="4"/>
      <c r="L303" s="4"/>
      <c r="M303" s="4"/>
      <c r="Q303" s="4"/>
      <c r="R303" s="4"/>
      <c r="S303" s="4"/>
      <c r="T303" s="4"/>
      <c r="U303" s="4"/>
      <c r="V303" s="4"/>
      <c r="W303" s="4"/>
      <c r="X303" s="4"/>
    </row>
    <row r="304" spans="3:24">
      <c r="C304" s="4"/>
      <c r="D304" s="13"/>
      <c r="E304" s="13"/>
      <c r="F304" s="13"/>
      <c r="G304" s="13"/>
      <c r="H304" s="13"/>
      <c r="I304" s="13"/>
      <c r="J304" s="13"/>
      <c r="K304" s="4"/>
      <c r="L304" s="4"/>
      <c r="M304" s="4"/>
      <c r="Q304" s="4"/>
      <c r="R304" s="4"/>
      <c r="S304" s="4"/>
      <c r="T304" s="4"/>
      <c r="U304" s="4"/>
      <c r="V304" s="4"/>
      <c r="W304" s="4"/>
      <c r="X304" s="4"/>
    </row>
    <row r="305" spans="3:24">
      <c r="C305" s="4"/>
      <c r="D305" s="13"/>
      <c r="E305" s="13"/>
      <c r="F305" s="13"/>
      <c r="G305" s="13"/>
      <c r="H305" s="13"/>
      <c r="I305" s="13"/>
      <c r="J305" s="13"/>
      <c r="K305" s="4"/>
      <c r="L305" s="4"/>
      <c r="M305" s="4"/>
      <c r="Q305" s="4"/>
      <c r="R305" s="4"/>
      <c r="S305" s="4"/>
      <c r="T305" s="4"/>
      <c r="U305" s="4"/>
      <c r="V305" s="4"/>
      <c r="W305" s="4"/>
      <c r="X305" s="4"/>
    </row>
    <row r="306" spans="3:24">
      <c r="C306" s="4"/>
      <c r="D306" s="13"/>
      <c r="E306" s="13"/>
      <c r="F306" s="13"/>
      <c r="G306" s="13"/>
      <c r="H306" s="13"/>
      <c r="I306" s="13"/>
      <c r="J306" s="13"/>
      <c r="K306" s="4"/>
      <c r="L306" s="4"/>
      <c r="M306" s="4"/>
      <c r="Q306" s="4"/>
      <c r="R306" s="4"/>
      <c r="S306" s="4"/>
      <c r="T306" s="4"/>
      <c r="U306" s="4"/>
      <c r="V306" s="4"/>
      <c r="W306" s="4"/>
      <c r="X306" s="4"/>
    </row>
    <row r="307" spans="3:24">
      <c r="C307" s="4"/>
      <c r="D307" s="13"/>
      <c r="E307" s="13"/>
      <c r="F307" s="13"/>
      <c r="G307" s="13"/>
      <c r="H307" s="13"/>
      <c r="I307" s="13"/>
      <c r="J307" s="13"/>
      <c r="K307" s="4"/>
      <c r="L307" s="4"/>
      <c r="M307" s="4"/>
      <c r="Q307" s="4"/>
      <c r="R307" s="4"/>
      <c r="S307" s="4"/>
      <c r="T307" s="4"/>
      <c r="U307" s="4"/>
      <c r="V307" s="4"/>
      <c r="W307" s="4"/>
      <c r="X307" s="4"/>
    </row>
    <row r="308" spans="3:24">
      <c r="C308" s="4"/>
      <c r="D308" s="13"/>
      <c r="E308" s="13"/>
      <c r="F308" s="13"/>
      <c r="G308" s="13"/>
      <c r="H308" s="13"/>
      <c r="I308" s="13"/>
      <c r="J308" s="13"/>
      <c r="K308" s="4"/>
      <c r="L308" s="4"/>
      <c r="M308" s="4"/>
      <c r="Q308" s="4"/>
      <c r="R308" s="4"/>
      <c r="S308" s="4"/>
      <c r="T308" s="4"/>
      <c r="U308" s="4"/>
      <c r="V308" s="4"/>
      <c r="W308" s="4"/>
      <c r="X308" s="4"/>
    </row>
    <row r="309" spans="3:24">
      <c r="C309" s="4"/>
      <c r="D309" s="13"/>
      <c r="E309" s="13"/>
      <c r="F309" s="13"/>
      <c r="G309" s="13"/>
      <c r="H309" s="13"/>
      <c r="I309" s="13"/>
      <c r="J309" s="13"/>
      <c r="K309" s="4"/>
      <c r="L309" s="4"/>
      <c r="M309" s="4"/>
      <c r="Q309" s="4"/>
      <c r="R309" s="4"/>
      <c r="S309" s="4"/>
      <c r="T309" s="4"/>
      <c r="U309" s="4"/>
      <c r="V309" s="4"/>
      <c r="W309" s="4"/>
      <c r="X309" s="4"/>
    </row>
    <row r="310" spans="3:24">
      <c r="C310" s="4"/>
      <c r="D310" s="13"/>
      <c r="E310" s="13"/>
      <c r="F310" s="13"/>
      <c r="G310" s="13"/>
      <c r="H310" s="13"/>
      <c r="I310" s="13"/>
      <c r="J310" s="13"/>
      <c r="K310" s="4"/>
      <c r="L310" s="4"/>
      <c r="M310" s="4"/>
      <c r="Q310" s="4"/>
      <c r="R310" s="4"/>
      <c r="S310" s="4"/>
      <c r="T310" s="4"/>
      <c r="U310" s="4"/>
      <c r="V310" s="4"/>
      <c r="W310" s="4"/>
      <c r="X310" s="4"/>
    </row>
    <row r="311" spans="3:24">
      <c r="C311" s="4"/>
      <c r="D311" s="13"/>
      <c r="E311" s="13"/>
      <c r="F311" s="13"/>
      <c r="G311" s="13"/>
      <c r="H311" s="13"/>
      <c r="I311" s="13"/>
      <c r="J311" s="13"/>
      <c r="K311" s="4"/>
      <c r="L311" s="4"/>
      <c r="M311" s="4"/>
      <c r="Q311" s="4"/>
      <c r="R311" s="4"/>
      <c r="S311" s="4"/>
      <c r="T311" s="4"/>
      <c r="U311" s="4"/>
      <c r="V311" s="4"/>
      <c r="W311" s="4"/>
      <c r="X311" s="4"/>
    </row>
    <row r="312" spans="3:24">
      <c r="C312" s="4"/>
      <c r="D312" s="13"/>
      <c r="E312" s="13"/>
      <c r="F312" s="13"/>
      <c r="G312" s="13"/>
      <c r="H312" s="13"/>
      <c r="I312" s="13"/>
      <c r="J312" s="13"/>
      <c r="K312" s="4"/>
      <c r="L312" s="4"/>
      <c r="M312" s="4"/>
      <c r="Q312" s="4"/>
      <c r="R312" s="4"/>
      <c r="S312" s="4"/>
      <c r="T312" s="4"/>
      <c r="U312" s="4"/>
      <c r="V312" s="4"/>
      <c r="W312" s="4"/>
      <c r="X312" s="4"/>
    </row>
    <row r="313" spans="3:24">
      <c r="C313" s="4"/>
      <c r="D313" s="13"/>
      <c r="E313" s="13"/>
      <c r="F313" s="13"/>
      <c r="G313" s="13"/>
      <c r="H313" s="13"/>
      <c r="I313" s="13"/>
      <c r="J313" s="13"/>
      <c r="K313" s="4"/>
      <c r="L313" s="4"/>
      <c r="M313" s="4"/>
      <c r="Q313" s="4"/>
      <c r="R313" s="4"/>
      <c r="S313" s="4"/>
      <c r="T313" s="4"/>
      <c r="U313" s="4"/>
      <c r="V313" s="4"/>
      <c r="W313" s="4"/>
      <c r="X313" s="4"/>
    </row>
    <row r="314" spans="3:24">
      <c r="C314" s="4"/>
      <c r="D314" s="13"/>
      <c r="E314" s="13"/>
      <c r="F314" s="13"/>
      <c r="G314" s="13"/>
      <c r="H314" s="13"/>
      <c r="I314" s="13"/>
      <c r="J314" s="13"/>
      <c r="K314" s="4"/>
      <c r="L314" s="4"/>
      <c r="M314" s="4"/>
      <c r="Q314" s="4"/>
      <c r="R314" s="4"/>
      <c r="S314" s="4"/>
      <c r="T314" s="4"/>
      <c r="U314" s="4"/>
      <c r="V314" s="4"/>
      <c r="W314" s="4"/>
      <c r="X314" s="4"/>
    </row>
    <row r="315" spans="3:24">
      <c r="C315" s="4"/>
      <c r="D315" s="13"/>
      <c r="E315" s="13"/>
      <c r="F315" s="13"/>
      <c r="G315" s="13"/>
      <c r="H315" s="13"/>
      <c r="I315" s="13"/>
      <c r="J315" s="13"/>
      <c r="K315" s="4"/>
      <c r="L315" s="4"/>
      <c r="M315" s="4"/>
      <c r="Q315" s="4"/>
      <c r="R315" s="4"/>
      <c r="S315" s="4"/>
      <c r="T315" s="4"/>
      <c r="U315" s="4"/>
      <c r="V315" s="4"/>
      <c r="W315" s="4"/>
      <c r="X315" s="4"/>
    </row>
    <row r="316" spans="3:24">
      <c r="C316" s="4"/>
      <c r="D316" s="13"/>
      <c r="E316" s="13"/>
      <c r="F316" s="13"/>
      <c r="G316" s="13"/>
      <c r="H316" s="13"/>
      <c r="I316" s="13"/>
      <c r="J316" s="13"/>
      <c r="K316" s="4"/>
      <c r="L316" s="4"/>
      <c r="M316" s="4"/>
      <c r="Q316" s="4"/>
      <c r="R316" s="4"/>
      <c r="S316" s="4"/>
      <c r="T316" s="4"/>
      <c r="U316" s="4"/>
      <c r="V316" s="4"/>
      <c r="W316" s="4"/>
      <c r="X316" s="4"/>
    </row>
    <row r="317" spans="3:24">
      <c r="C317" s="4"/>
      <c r="D317" s="13"/>
      <c r="E317" s="13"/>
      <c r="F317" s="13"/>
      <c r="G317" s="13"/>
      <c r="H317" s="13"/>
      <c r="I317" s="13"/>
      <c r="J317" s="13"/>
      <c r="K317" s="4"/>
      <c r="L317" s="4"/>
      <c r="M317" s="4"/>
      <c r="Q317" s="4"/>
      <c r="R317" s="4"/>
      <c r="S317" s="4"/>
      <c r="T317" s="4"/>
      <c r="U317" s="4"/>
      <c r="V317" s="4"/>
      <c r="W317" s="4"/>
      <c r="X317" s="4"/>
    </row>
    <row r="318" spans="3:24">
      <c r="C318" s="4"/>
      <c r="D318" s="13"/>
      <c r="E318" s="13"/>
      <c r="F318" s="13"/>
      <c r="G318" s="13"/>
      <c r="H318" s="13"/>
      <c r="I318" s="13"/>
      <c r="J318" s="13"/>
      <c r="K318" s="4"/>
      <c r="L318" s="4"/>
      <c r="M318" s="4"/>
      <c r="Q318" s="4"/>
      <c r="R318" s="4"/>
      <c r="S318" s="4"/>
      <c r="T318" s="4"/>
      <c r="U318" s="4"/>
      <c r="V318" s="4"/>
      <c r="W318" s="4"/>
      <c r="X318" s="4"/>
    </row>
    <row r="319" spans="3:24">
      <c r="C319" s="4"/>
      <c r="D319" s="13"/>
      <c r="E319" s="13"/>
      <c r="F319" s="13"/>
      <c r="G319" s="13"/>
      <c r="H319" s="13"/>
      <c r="I319" s="13"/>
      <c r="J319" s="13"/>
      <c r="K319" s="4"/>
      <c r="L319" s="4"/>
      <c r="M319" s="4"/>
      <c r="Q319" s="4"/>
      <c r="R319" s="4"/>
      <c r="S319" s="4"/>
      <c r="T319" s="4"/>
      <c r="U319" s="4"/>
      <c r="V319" s="4"/>
      <c r="W319" s="4"/>
      <c r="X319" s="4"/>
    </row>
    <row r="320" spans="3:24">
      <c r="C320" s="4"/>
      <c r="D320" s="13"/>
      <c r="E320" s="13"/>
      <c r="F320" s="13"/>
      <c r="G320" s="13"/>
      <c r="H320" s="13"/>
      <c r="I320" s="13"/>
      <c r="J320" s="13"/>
      <c r="K320" s="4"/>
      <c r="L320" s="4"/>
      <c r="M320" s="4"/>
      <c r="Q320" s="4"/>
      <c r="R320" s="4"/>
      <c r="S320" s="4"/>
      <c r="T320" s="4"/>
      <c r="U320" s="4"/>
      <c r="V320" s="4"/>
      <c r="W320" s="4"/>
      <c r="X320" s="4"/>
    </row>
    <row r="321" spans="3:24">
      <c r="C321" s="4"/>
      <c r="D321" s="13"/>
      <c r="E321" s="13"/>
      <c r="F321" s="13"/>
      <c r="G321" s="13"/>
      <c r="H321" s="13"/>
      <c r="I321" s="13"/>
      <c r="J321" s="13"/>
      <c r="K321" s="4"/>
      <c r="L321" s="4"/>
      <c r="M321" s="4"/>
      <c r="Q321" s="4"/>
      <c r="R321" s="4"/>
      <c r="S321" s="4"/>
      <c r="T321" s="4"/>
      <c r="U321" s="4"/>
      <c r="V321" s="4"/>
      <c r="W321" s="4"/>
      <c r="X321" s="4"/>
    </row>
    <row r="322" spans="3:24">
      <c r="C322" s="4"/>
      <c r="D322" s="13"/>
      <c r="E322" s="13"/>
      <c r="F322" s="13"/>
      <c r="G322" s="13"/>
      <c r="H322" s="13"/>
      <c r="I322" s="13"/>
      <c r="J322" s="13"/>
      <c r="K322" s="4"/>
      <c r="L322" s="4"/>
      <c r="M322" s="4"/>
      <c r="Q322" s="4"/>
      <c r="R322" s="4"/>
      <c r="S322" s="4"/>
      <c r="T322" s="4"/>
      <c r="U322" s="4"/>
      <c r="V322" s="4"/>
      <c r="W322" s="4"/>
      <c r="X322" s="4"/>
    </row>
    <row r="323" spans="3:24">
      <c r="C323" s="4"/>
      <c r="D323" s="13"/>
      <c r="E323" s="13"/>
      <c r="F323" s="13"/>
      <c r="G323" s="13"/>
      <c r="H323" s="13"/>
      <c r="I323" s="13"/>
      <c r="J323" s="13"/>
      <c r="K323" s="4"/>
      <c r="L323" s="4"/>
      <c r="M323" s="4"/>
      <c r="Q323" s="4"/>
      <c r="R323" s="4"/>
      <c r="S323" s="4"/>
      <c r="T323" s="4"/>
      <c r="U323" s="4"/>
      <c r="V323" s="4"/>
      <c r="W323" s="4"/>
      <c r="X323" s="4"/>
    </row>
    <row r="324" spans="3:24">
      <c r="C324" s="4"/>
      <c r="D324" s="13"/>
      <c r="E324" s="13"/>
      <c r="F324" s="13"/>
      <c r="G324" s="13"/>
      <c r="H324" s="13"/>
      <c r="I324" s="13"/>
      <c r="J324" s="13"/>
      <c r="K324" s="4"/>
      <c r="L324" s="4"/>
      <c r="M324" s="4"/>
      <c r="Q324" s="4"/>
      <c r="R324" s="4"/>
      <c r="S324" s="4"/>
      <c r="T324" s="4"/>
      <c r="U324" s="4"/>
      <c r="V324" s="4"/>
      <c r="W324" s="4"/>
      <c r="X324" s="4"/>
    </row>
    <row r="325" spans="3:24">
      <c r="C325" s="4"/>
      <c r="D325" s="13"/>
      <c r="E325" s="13"/>
      <c r="F325" s="13"/>
      <c r="G325" s="13"/>
      <c r="H325" s="13"/>
      <c r="I325" s="13"/>
      <c r="J325" s="13"/>
      <c r="K325" s="4"/>
      <c r="L325" s="4"/>
      <c r="M325" s="4"/>
      <c r="Q325" s="4"/>
      <c r="R325" s="4"/>
      <c r="S325" s="4"/>
      <c r="T325" s="4"/>
      <c r="U325" s="4"/>
      <c r="V325" s="4"/>
      <c r="W325" s="4"/>
      <c r="X325" s="4"/>
    </row>
    <row r="326" spans="3:24">
      <c r="C326" s="4"/>
      <c r="D326" s="13"/>
      <c r="E326" s="13"/>
      <c r="F326" s="13"/>
      <c r="G326" s="13"/>
      <c r="H326" s="13"/>
      <c r="I326" s="13"/>
      <c r="J326" s="13"/>
      <c r="K326" s="4"/>
      <c r="L326" s="4"/>
      <c r="M326" s="4"/>
      <c r="Q326" s="4"/>
      <c r="R326" s="4"/>
      <c r="S326" s="4"/>
      <c r="T326" s="4"/>
      <c r="U326" s="4"/>
      <c r="V326" s="4"/>
      <c r="W326" s="4"/>
      <c r="X326" s="4"/>
    </row>
    <row r="327" spans="3:24">
      <c r="C327" s="4"/>
      <c r="D327" s="13"/>
      <c r="E327" s="13"/>
      <c r="F327" s="13"/>
      <c r="G327" s="13"/>
      <c r="H327" s="13"/>
      <c r="I327" s="13"/>
      <c r="J327" s="13"/>
      <c r="K327" s="4"/>
      <c r="L327" s="4"/>
      <c r="M327" s="4"/>
      <c r="Q327" s="4"/>
      <c r="R327" s="4"/>
      <c r="S327" s="4"/>
      <c r="T327" s="4"/>
      <c r="U327" s="4"/>
      <c r="V327" s="4"/>
      <c r="W327" s="4"/>
      <c r="X327" s="4"/>
    </row>
    <row r="328" spans="3:24">
      <c r="C328" s="4"/>
      <c r="D328" s="13"/>
      <c r="E328" s="13"/>
      <c r="F328" s="13"/>
      <c r="G328" s="13"/>
      <c r="H328" s="13"/>
      <c r="I328" s="13"/>
      <c r="J328" s="13"/>
      <c r="K328" s="4"/>
      <c r="L328" s="4"/>
      <c r="M328" s="4"/>
      <c r="Q328" s="4"/>
      <c r="R328" s="4"/>
      <c r="S328" s="4"/>
      <c r="T328" s="4"/>
      <c r="U328" s="4"/>
      <c r="V328" s="4"/>
      <c r="W328" s="4"/>
      <c r="X328" s="4"/>
    </row>
    <row r="329" spans="3:24">
      <c r="C329" s="4"/>
      <c r="D329" s="13"/>
      <c r="E329" s="13"/>
      <c r="F329" s="13"/>
      <c r="G329" s="13"/>
      <c r="H329" s="13"/>
      <c r="I329" s="13"/>
      <c r="J329" s="13"/>
      <c r="K329" s="4"/>
      <c r="L329" s="4"/>
      <c r="M329" s="4"/>
      <c r="Q329" s="4"/>
      <c r="R329" s="4"/>
      <c r="S329" s="4"/>
      <c r="T329" s="4"/>
      <c r="U329" s="4"/>
      <c r="V329" s="4"/>
      <c r="W329" s="4"/>
      <c r="X329" s="4"/>
    </row>
    <row r="330" spans="3:24">
      <c r="C330" s="4"/>
      <c r="D330" s="13"/>
      <c r="E330" s="13"/>
      <c r="F330" s="13"/>
      <c r="G330" s="13"/>
      <c r="H330" s="13"/>
      <c r="I330" s="13"/>
      <c r="J330" s="13"/>
      <c r="K330" s="4"/>
      <c r="L330" s="4"/>
      <c r="M330" s="4"/>
      <c r="Q330" s="4"/>
      <c r="R330" s="4"/>
      <c r="S330" s="4"/>
      <c r="T330" s="4"/>
      <c r="U330" s="4"/>
      <c r="V330" s="4"/>
      <c r="W330" s="4"/>
      <c r="X330" s="4"/>
    </row>
    <row r="331" spans="3:24">
      <c r="C331" s="4"/>
      <c r="D331" s="13"/>
      <c r="E331" s="13"/>
      <c r="F331" s="13"/>
      <c r="G331" s="13"/>
      <c r="H331" s="13"/>
      <c r="I331" s="13"/>
      <c r="J331" s="13"/>
      <c r="K331" s="4"/>
      <c r="L331" s="4"/>
      <c r="M331" s="4"/>
      <c r="Q331" s="4"/>
      <c r="R331" s="4"/>
      <c r="S331" s="4"/>
      <c r="T331" s="4"/>
      <c r="U331" s="4"/>
      <c r="V331" s="4"/>
      <c r="W331" s="4"/>
      <c r="X331" s="4"/>
    </row>
    <row r="332" spans="3:24">
      <c r="C332" s="4"/>
      <c r="D332" s="13"/>
      <c r="E332" s="13"/>
      <c r="F332" s="13"/>
      <c r="G332" s="13"/>
      <c r="H332" s="13"/>
      <c r="I332" s="13"/>
      <c r="J332" s="13"/>
      <c r="K332" s="4"/>
      <c r="L332" s="4"/>
      <c r="M332" s="4"/>
      <c r="Q332" s="4"/>
      <c r="R332" s="4"/>
      <c r="S332" s="4"/>
      <c r="T332" s="4"/>
      <c r="U332" s="4"/>
      <c r="V332" s="4"/>
      <c r="W332" s="4"/>
      <c r="X332" s="4"/>
    </row>
    <row r="333" spans="3:24">
      <c r="C333" s="4"/>
      <c r="D333" s="13"/>
      <c r="E333" s="13"/>
      <c r="F333" s="13"/>
      <c r="G333" s="13"/>
      <c r="H333" s="13"/>
      <c r="I333" s="13"/>
      <c r="J333" s="13"/>
      <c r="K333" s="4"/>
      <c r="L333" s="4"/>
      <c r="M333" s="4"/>
      <c r="Q333" s="4"/>
      <c r="R333" s="4"/>
      <c r="S333" s="4"/>
      <c r="T333" s="4"/>
      <c r="U333" s="4"/>
      <c r="V333" s="4"/>
      <c r="W333" s="4"/>
      <c r="X333" s="4"/>
    </row>
    <row r="334" spans="3:24">
      <c r="C334" s="4"/>
      <c r="D334" s="13"/>
      <c r="E334" s="13"/>
      <c r="F334" s="13"/>
      <c r="G334" s="13"/>
      <c r="H334" s="13"/>
      <c r="I334" s="13"/>
      <c r="J334" s="13"/>
      <c r="K334" s="4"/>
      <c r="L334" s="4"/>
      <c r="M334" s="4"/>
      <c r="Q334" s="4"/>
      <c r="R334" s="4"/>
      <c r="S334" s="4"/>
      <c r="T334" s="4"/>
      <c r="U334" s="4"/>
      <c r="V334" s="4"/>
      <c r="W334" s="4"/>
      <c r="X334" s="4"/>
    </row>
    <row r="335" spans="3:24">
      <c r="C335" s="4"/>
      <c r="D335" s="13"/>
      <c r="E335" s="13"/>
      <c r="F335" s="13"/>
      <c r="G335" s="13"/>
      <c r="H335" s="13"/>
      <c r="I335" s="13"/>
      <c r="J335" s="13"/>
      <c r="K335" s="4"/>
      <c r="L335" s="4"/>
      <c r="M335" s="4"/>
      <c r="Q335" s="4"/>
      <c r="R335" s="4"/>
      <c r="S335" s="4"/>
      <c r="T335" s="4"/>
      <c r="U335" s="4"/>
      <c r="V335" s="4"/>
      <c r="W335" s="4"/>
      <c r="X335" s="4"/>
    </row>
    <row r="336" spans="3:24">
      <c r="C336" s="4"/>
      <c r="D336" s="13"/>
      <c r="E336" s="13"/>
      <c r="F336" s="13"/>
      <c r="G336" s="13"/>
      <c r="H336" s="13"/>
      <c r="I336" s="13"/>
      <c r="J336" s="13"/>
      <c r="K336" s="4"/>
      <c r="L336" s="4"/>
      <c r="M336" s="4"/>
      <c r="Q336" s="4"/>
      <c r="R336" s="4"/>
      <c r="S336" s="4"/>
      <c r="T336" s="4"/>
      <c r="U336" s="4"/>
      <c r="V336" s="4"/>
      <c r="W336" s="4"/>
      <c r="X336" s="4"/>
    </row>
    <row r="337" spans="3:24">
      <c r="C337" s="4"/>
      <c r="D337" s="13"/>
      <c r="E337" s="13"/>
      <c r="F337" s="13"/>
      <c r="G337" s="13"/>
      <c r="H337" s="13"/>
      <c r="I337" s="13"/>
      <c r="J337" s="13"/>
      <c r="K337" s="4"/>
      <c r="L337" s="4"/>
      <c r="M337" s="4"/>
      <c r="Q337" s="4"/>
      <c r="R337" s="4"/>
      <c r="S337" s="4"/>
      <c r="T337" s="4"/>
      <c r="U337" s="4"/>
      <c r="V337" s="4"/>
      <c r="W337" s="4"/>
      <c r="X337" s="4"/>
    </row>
    <row r="338" spans="3:24">
      <c r="C338" s="4"/>
      <c r="D338" s="13"/>
      <c r="E338" s="13"/>
      <c r="F338" s="13"/>
      <c r="G338" s="13"/>
      <c r="H338" s="13"/>
      <c r="I338" s="13"/>
      <c r="J338" s="13"/>
      <c r="K338" s="4"/>
      <c r="L338" s="4"/>
      <c r="M338" s="4"/>
      <c r="Q338" s="4"/>
      <c r="R338" s="4"/>
      <c r="S338" s="4"/>
      <c r="T338" s="4"/>
      <c r="U338" s="4"/>
      <c r="V338" s="4"/>
      <c r="W338" s="4"/>
      <c r="X338" s="4"/>
    </row>
    <row r="339" spans="3:24">
      <c r="C339" s="4"/>
      <c r="D339" s="13"/>
      <c r="E339" s="13"/>
      <c r="F339" s="13"/>
      <c r="G339" s="13"/>
      <c r="H339" s="13"/>
      <c r="I339" s="13"/>
      <c r="J339" s="13"/>
      <c r="K339" s="4"/>
      <c r="L339" s="4"/>
      <c r="M339" s="4"/>
      <c r="Q339" s="4"/>
      <c r="R339" s="4"/>
      <c r="S339" s="4"/>
      <c r="T339" s="4"/>
      <c r="U339" s="4"/>
      <c r="V339" s="4"/>
      <c r="W339" s="4"/>
      <c r="X339" s="4"/>
    </row>
    <row r="340" spans="3:24">
      <c r="C340" s="4"/>
      <c r="D340" s="13"/>
      <c r="E340" s="13"/>
      <c r="F340" s="13"/>
      <c r="G340" s="13"/>
      <c r="H340" s="13"/>
      <c r="I340" s="13"/>
      <c r="J340" s="13"/>
      <c r="K340" s="4"/>
      <c r="L340" s="4"/>
      <c r="M340" s="4"/>
      <c r="Q340" s="4"/>
      <c r="R340" s="4"/>
      <c r="S340" s="4"/>
      <c r="T340" s="4"/>
      <c r="U340" s="4"/>
      <c r="V340" s="4"/>
      <c r="W340" s="4"/>
      <c r="X340" s="4"/>
    </row>
    <row r="341" spans="3:24">
      <c r="C341" s="4"/>
      <c r="D341" s="13"/>
      <c r="E341" s="13"/>
      <c r="F341" s="13"/>
      <c r="G341" s="13"/>
      <c r="H341" s="13"/>
      <c r="I341" s="13"/>
      <c r="J341" s="13"/>
      <c r="K341" s="4"/>
      <c r="L341" s="4"/>
      <c r="M341" s="4"/>
      <c r="Q341" s="4"/>
      <c r="R341" s="4"/>
      <c r="S341" s="4"/>
      <c r="T341" s="4"/>
      <c r="U341" s="4"/>
      <c r="V341" s="4"/>
      <c r="W341" s="4"/>
      <c r="X341" s="4"/>
    </row>
    <row r="342" spans="3:24">
      <c r="C342" s="4"/>
      <c r="D342" s="13"/>
      <c r="E342" s="13"/>
      <c r="F342" s="13"/>
      <c r="G342" s="13"/>
      <c r="H342" s="13"/>
      <c r="I342" s="13"/>
      <c r="J342" s="13"/>
      <c r="K342" s="4"/>
      <c r="L342" s="4"/>
      <c r="M342" s="4"/>
      <c r="Q342" s="4"/>
      <c r="R342" s="4"/>
      <c r="S342" s="4"/>
      <c r="T342" s="4"/>
      <c r="U342" s="4"/>
      <c r="V342" s="4"/>
      <c r="W342" s="4"/>
      <c r="X342" s="4"/>
    </row>
    <row r="343" spans="3:24">
      <c r="C343" s="4"/>
      <c r="D343" s="13"/>
      <c r="E343" s="13"/>
      <c r="F343" s="13"/>
      <c r="G343" s="13"/>
      <c r="H343" s="13"/>
      <c r="I343" s="13"/>
      <c r="J343" s="13"/>
      <c r="K343" s="4"/>
      <c r="L343" s="4"/>
      <c r="M343" s="4"/>
      <c r="Q343" s="4"/>
      <c r="R343" s="4"/>
      <c r="S343" s="4"/>
      <c r="T343" s="4"/>
      <c r="U343" s="4"/>
      <c r="V343" s="4"/>
      <c r="W343" s="4"/>
      <c r="X343" s="4"/>
    </row>
    <row r="344" spans="3:24">
      <c r="C344" s="4"/>
      <c r="D344" s="13"/>
      <c r="E344" s="13"/>
      <c r="F344" s="13"/>
      <c r="G344" s="13"/>
      <c r="H344" s="13"/>
      <c r="I344" s="13"/>
      <c r="J344" s="13"/>
      <c r="K344" s="4"/>
      <c r="L344" s="4"/>
      <c r="M344" s="4"/>
      <c r="Q344" s="4"/>
      <c r="R344" s="4"/>
      <c r="S344" s="4"/>
      <c r="T344" s="4"/>
      <c r="U344" s="4"/>
      <c r="V344" s="4"/>
      <c r="W344" s="4"/>
      <c r="X344" s="4"/>
    </row>
    <row r="345" spans="3:24">
      <c r="C345" s="4"/>
      <c r="D345" s="13"/>
      <c r="E345" s="13"/>
      <c r="F345" s="13"/>
      <c r="G345" s="13"/>
      <c r="H345" s="13"/>
      <c r="I345" s="13"/>
      <c r="J345" s="13"/>
      <c r="K345" s="4"/>
      <c r="L345" s="4"/>
      <c r="M345" s="4"/>
      <c r="Q345" s="4"/>
      <c r="R345" s="4"/>
      <c r="S345" s="4"/>
      <c r="T345" s="4"/>
      <c r="U345" s="4"/>
      <c r="V345" s="4"/>
      <c r="W345" s="4"/>
      <c r="X345" s="4"/>
    </row>
    <row r="346" spans="3:24">
      <c r="C346" s="4"/>
      <c r="D346" s="13"/>
      <c r="E346" s="13"/>
      <c r="F346" s="13"/>
      <c r="G346" s="13"/>
      <c r="H346" s="13"/>
      <c r="I346" s="13"/>
      <c r="J346" s="13"/>
      <c r="K346" s="4"/>
      <c r="L346" s="4"/>
      <c r="M346" s="4"/>
      <c r="Q346" s="4"/>
      <c r="R346" s="4"/>
      <c r="S346" s="4"/>
      <c r="T346" s="4"/>
      <c r="U346" s="4"/>
      <c r="V346" s="4"/>
      <c r="W346" s="4"/>
      <c r="X346" s="4"/>
    </row>
    <row r="347" spans="3:24">
      <c r="C347" s="4"/>
      <c r="D347" s="13"/>
      <c r="E347" s="13"/>
      <c r="F347" s="13"/>
      <c r="G347" s="13"/>
      <c r="H347" s="13"/>
      <c r="I347" s="13"/>
      <c r="J347" s="13"/>
      <c r="K347" s="4"/>
      <c r="L347" s="4"/>
      <c r="M347" s="4"/>
      <c r="Q347" s="4"/>
      <c r="R347" s="4"/>
      <c r="S347" s="4"/>
      <c r="T347" s="4"/>
      <c r="U347" s="4"/>
      <c r="V347" s="4"/>
      <c r="W347" s="4"/>
      <c r="X347" s="4"/>
    </row>
    <row r="348" spans="3:24">
      <c r="C348" s="4"/>
      <c r="D348" s="13"/>
      <c r="E348" s="13"/>
      <c r="F348" s="13"/>
      <c r="G348" s="13"/>
      <c r="H348" s="13"/>
      <c r="I348" s="13"/>
      <c r="J348" s="13"/>
      <c r="K348" s="4"/>
      <c r="L348" s="4"/>
      <c r="M348" s="4"/>
      <c r="Q348" s="4"/>
      <c r="R348" s="4"/>
      <c r="S348" s="4"/>
      <c r="T348" s="4"/>
      <c r="U348" s="4"/>
      <c r="V348" s="4"/>
      <c r="W348" s="4"/>
      <c r="X348" s="4"/>
    </row>
    <row r="349" spans="3:24">
      <c r="C349" s="4"/>
      <c r="D349" s="13"/>
      <c r="E349" s="13"/>
      <c r="F349" s="13"/>
      <c r="G349" s="13"/>
      <c r="H349" s="13"/>
      <c r="I349" s="13"/>
      <c r="J349" s="13"/>
      <c r="K349" s="4"/>
      <c r="L349" s="4"/>
      <c r="M349" s="4"/>
      <c r="Q349" s="4"/>
      <c r="R349" s="4"/>
      <c r="S349" s="4"/>
      <c r="T349" s="4"/>
      <c r="U349" s="4"/>
      <c r="V349" s="4"/>
      <c r="W349" s="4"/>
      <c r="X349" s="4"/>
    </row>
    <row r="350" spans="3:24">
      <c r="C350" s="4"/>
      <c r="D350" s="13"/>
      <c r="E350" s="13"/>
      <c r="F350" s="13"/>
      <c r="G350" s="13"/>
      <c r="H350" s="13"/>
      <c r="I350" s="13"/>
      <c r="J350" s="13"/>
      <c r="K350" s="4"/>
      <c r="L350" s="4"/>
      <c r="M350" s="4"/>
      <c r="Q350" s="4"/>
      <c r="R350" s="4"/>
      <c r="S350" s="4"/>
      <c r="T350" s="4"/>
      <c r="U350" s="4"/>
      <c r="V350" s="4"/>
      <c r="W350" s="4"/>
      <c r="X350" s="4"/>
    </row>
    <row r="351" spans="3:24">
      <c r="C351" s="4"/>
      <c r="D351" s="13"/>
      <c r="E351" s="13"/>
      <c r="F351" s="13"/>
      <c r="G351" s="13"/>
      <c r="H351" s="13"/>
      <c r="I351" s="13"/>
      <c r="J351" s="13"/>
      <c r="K351" s="4"/>
      <c r="L351" s="4"/>
      <c r="M351" s="4"/>
      <c r="Q351" s="4"/>
      <c r="R351" s="4"/>
      <c r="S351" s="4"/>
      <c r="T351" s="4"/>
      <c r="U351" s="4"/>
      <c r="V351" s="4"/>
      <c r="W351" s="4"/>
      <c r="X351" s="4"/>
    </row>
    <row r="352" spans="3:24">
      <c r="C352" s="4"/>
      <c r="D352" s="13"/>
      <c r="E352" s="13"/>
      <c r="F352" s="13"/>
      <c r="G352" s="13"/>
      <c r="H352" s="13"/>
      <c r="I352" s="13"/>
      <c r="J352" s="13"/>
      <c r="K352" s="4"/>
      <c r="L352" s="4"/>
      <c r="M352" s="4"/>
      <c r="Q352" s="4"/>
      <c r="R352" s="4"/>
      <c r="S352" s="4"/>
      <c r="T352" s="4"/>
      <c r="U352" s="4"/>
      <c r="V352" s="4"/>
      <c r="W352" s="4"/>
      <c r="X352" s="4"/>
    </row>
    <row r="353" spans="3:24">
      <c r="C353" s="4"/>
      <c r="D353" s="13"/>
      <c r="E353" s="13"/>
      <c r="F353" s="13"/>
      <c r="G353" s="13"/>
      <c r="H353" s="13"/>
      <c r="I353" s="13"/>
      <c r="J353" s="13"/>
      <c r="K353" s="4"/>
      <c r="L353" s="4"/>
      <c r="M353" s="4"/>
      <c r="Q353" s="4"/>
      <c r="R353" s="4"/>
      <c r="S353" s="4"/>
      <c r="T353" s="4"/>
      <c r="U353" s="4"/>
      <c r="V353" s="4"/>
      <c r="W353" s="4"/>
      <c r="X353" s="4"/>
    </row>
    <row r="354" spans="3:24">
      <c r="C354" s="4"/>
      <c r="D354" s="13"/>
      <c r="E354" s="13"/>
      <c r="F354" s="13"/>
      <c r="G354" s="13"/>
      <c r="H354" s="13"/>
      <c r="I354" s="13"/>
      <c r="J354" s="13"/>
      <c r="K354" s="4"/>
      <c r="L354" s="4"/>
      <c r="M354" s="4"/>
      <c r="Q354" s="4"/>
      <c r="R354" s="4"/>
      <c r="S354" s="4"/>
      <c r="T354" s="4"/>
      <c r="U354" s="4"/>
      <c r="V354" s="4"/>
      <c r="W354" s="4"/>
      <c r="X354" s="4"/>
    </row>
    <row r="355" spans="3:24">
      <c r="C355" s="4"/>
      <c r="D355" s="13"/>
      <c r="E355" s="13"/>
      <c r="F355" s="13"/>
      <c r="G355" s="13"/>
      <c r="H355" s="13"/>
      <c r="I355" s="13"/>
      <c r="J355" s="13"/>
      <c r="K355" s="4"/>
      <c r="L355" s="4"/>
      <c r="M355" s="4"/>
      <c r="Q355" s="4"/>
      <c r="R355" s="4"/>
      <c r="S355" s="4"/>
      <c r="T355" s="4"/>
      <c r="U355" s="4"/>
      <c r="V355" s="4"/>
      <c r="W355" s="4"/>
      <c r="X355" s="4"/>
    </row>
    <row r="356" spans="3:24">
      <c r="C356" s="4"/>
      <c r="D356" s="13"/>
      <c r="E356" s="13"/>
      <c r="F356" s="13"/>
      <c r="G356" s="13"/>
      <c r="H356" s="13"/>
      <c r="I356" s="13"/>
      <c r="J356" s="13"/>
      <c r="K356" s="4"/>
      <c r="L356" s="4"/>
      <c r="M356" s="4"/>
      <c r="Q356" s="4"/>
      <c r="R356" s="4"/>
      <c r="S356" s="4"/>
      <c r="T356" s="4"/>
      <c r="U356" s="4"/>
      <c r="V356" s="4"/>
      <c r="W356" s="4"/>
      <c r="X356" s="4"/>
    </row>
    <row r="357" spans="3:24">
      <c r="C357" s="4"/>
      <c r="D357" s="13"/>
      <c r="E357" s="13"/>
      <c r="F357" s="13"/>
      <c r="G357" s="13"/>
      <c r="H357" s="13"/>
      <c r="I357" s="13"/>
      <c r="J357" s="13"/>
      <c r="K357" s="4"/>
      <c r="L357" s="4"/>
      <c r="M357" s="4"/>
      <c r="Q357" s="4"/>
      <c r="R357" s="4"/>
      <c r="S357" s="4"/>
      <c r="T357" s="4"/>
      <c r="U357" s="4"/>
      <c r="V357" s="4"/>
      <c r="W357" s="4"/>
      <c r="X357" s="4"/>
    </row>
    <row r="358" spans="3:24">
      <c r="C358" s="4"/>
      <c r="D358" s="13"/>
      <c r="E358" s="13"/>
      <c r="F358" s="13"/>
      <c r="G358" s="13"/>
      <c r="H358" s="13"/>
      <c r="I358" s="13"/>
      <c r="J358" s="13"/>
      <c r="K358" s="4"/>
      <c r="L358" s="4"/>
      <c r="M358" s="4"/>
      <c r="Q358" s="4"/>
      <c r="R358" s="4"/>
      <c r="S358" s="4"/>
      <c r="T358" s="4"/>
      <c r="U358" s="4"/>
      <c r="V358" s="4"/>
      <c r="W358" s="4"/>
      <c r="X358" s="4"/>
    </row>
    <row r="359" spans="3:24">
      <c r="C359" s="4"/>
      <c r="D359" s="13"/>
      <c r="E359" s="13"/>
      <c r="F359" s="13"/>
      <c r="G359" s="13"/>
      <c r="H359" s="13"/>
      <c r="I359" s="13"/>
      <c r="J359" s="13"/>
      <c r="K359" s="4"/>
      <c r="L359" s="4"/>
      <c r="M359" s="4"/>
      <c r="Q359" s="4"/>
      <c r="R359" s="4"/>
      <c r="S359" s="4"/>
      <c r="T359" s="4"/>
      <c r="U359" s="4"/>
      <c r="V359" s="4"/>
      <c r="W359" s="4"/>
      <c r="X359" s="4"/>
    </row>
    <row r="360" spans="3:24">
      <c r="C360" s="4"/>
      <c r="D360" s="13"/>
      <c r="E360" s="13"/>
      <c r="F360" s="13"/>
      <c r="G360" s="13"/>
      <c r="H360" s="13"/>
      <c r="I360" s="13"/>
      <c r="J360" s="13"/>
      <c r="K360" s="4"/>
      <c r="L360" s="4"/>
      <c r="M360" s="4"/>
      <c r="Q360" s="4"/>
      <c r="R360" s="4"/>
      <c r="S360" s="4"/>
      <c r="T360" s="4"/>
      <c r="U360" s="4"/>
      <c r="V360" s="4"/>
      <c r="W360" s="4"/>
      <c r="X360" s="4"/>
    </row>
    <row r="361" spans="3:24">
      <c r="C361" s="4"/>
      <c r="D361" s="13"/>
      <c r="E361" s="13"/>
      <c r="F361" s="13"/>
      <c r="G361" s="13"/>
      <c r="H361" s="13"/>
      <c r="I361" s="13"/>
      <c r="J361" s="13"/>
      <c r="K361" s="4"/>
      <c r="L361" s="4"/>
      <c r="M361" s="4"/>
      <c r="Q361" s="4"/>
      <c r="R361" s="4"/>
      <c r="S361" s="4"/>
      <c r="T361" s="4"/>
      <c r="U361" s="4"/>
      <c r="V361" s="4"/>
      <c r="W361" s="4"/>
      <c r="X361" s="4"/>
    </row>
    <row r="362" spans="3:24">
      <c r="C362" s="4"/>
      <c r="D362" s="13"/>
      <c r="E362" s="13"/>
      <c r="F362" s="13"/>
      <c r="G362" s="13"/>
      <c r="H362" s="13"/>
      <c r="I362" s="13"/>
      <c r="J362" s="13"/>
      <c r="K362" s="4"/>
      <c r="L362" s="4"/>
      <c r="M362" s="4"/>
      <c r="Q362" s="4"/>
      <c r="R362" s="4"/>
      <c r="S362" s="4"/>
      <c r="T362" s="4"/>
      <c r="U362" s="4"/>
      <c r="V362" s="4"/>
      <c r="W362" s="4"/>
      <c r="X362" s="4"/>
    </row>
    <row r="363" spans="3:24">
      <c r="C363" s="4"/>
      <c r="D363" s="13"/>
      <c r="E363" s="13"/>
      <c r="F363" s="13"/>
      <c r="G363" s="13"/>
      <c r="H363" s="13"/>
      <c r="I363" s="13"/>
      <c r="J363" s="13"/>
      <c r="K363" s="4"/>
      <c r="L363" s="4"/>
      <c r="M363" s="4"/>
      <c r="Q363" s="4"/>
      <c r="R363" s="4"/>
      <c r="S363" s="4"/>
      <c r="T363" s="4"/>
      <c r="U363" s="4"/>
      <c r="V363" s="4"/>
      <c r="W363" s="4"/>
      <c r="X363" s="4"/>
    </row>
    <row r="364" spans="3:24">
      <c r="C364" s="4"/>
      <c r="D364" s="13"/>
      <c r="E364" s="13"/>
      <c r="F364" s="13"/>
      <c r="G364" s="13"/>
      <c r="H364" s="13"/>
      <c r="I364" s="13"/>
      <c r="J364" s="13"/>
      <c r="K364" s="4"/>
      <c r="L364" s="4"/>
      <c r="M364" s="4"/>
      <c r="Q364" s="4"/>
      <c r="R364" s="4"/>
      <c r="S364" s="4"/>
      <c r="T364" s="4"/>
      <c r="U364" s="4"/>
      <c r="V364" s="4"/>
      <c r="W364" s="4"/>
      <c r="X364" s="4"/>
    </row>
    <row r="365" spans="3:24">
      <c r="C365" s="4"/>
      <c r="D365" s="13"/>
      <c r="E365" s="13"/>
      <c r="F365" s="13"/>
      <c r="G365" s="13"/>
      <c r="H365" s="13"/>
      <c r="I365" s="13"/>
      <c r="J365" s="13"/>
      <c r="K365" s="4"/>
      <c r="L365" s="4"/>
      <c r="M365" s="4"/>
      <c r="Q365" s="4"/>
      <c r="R365" s="4"/>
      <c r="S365" s="4"/>
      <c r="T365" s="4"/>
      <c r="U365" s="4"/>
      <c r="V365" s="4"/>
      <c r="W365" s="4"/>
      <c r="X365" s="4"/>
    </row>
    <row r="366" spans="3:24">
      <c r="C366" s="4"/>
      <c r="D366" s="13"/>
      <c r="E366" s="13"/>
      <c r="F366" s="13"/>
      <c r="G366" s="13"/>
      <c r="H366" s="13"/>
      <c r="I366" s="13"/>
      <c r="J366" s="13"/>
      <c r="K366" s="4"/>
      <c r="L366" s="4"/>
      <c r="M366" s="4"/>
      <c r="Q366" s="4"/>
      <c r="R366" s="4"/>
      <c r="S366" s="4"/>
      <c r="T366" s="4"/>
      <c r="U366" s="4"/>
      <c r="V366" s="4"/>
      <c r="W366" s="4"/>
      <c r="X366" s="4"/>
    </row>
    <row r="367" spans="3:24">
      <c r="C367" s="4"/>
      <c r="D367" s="13"/>
      <c r="E367" s="13"/>
      <c r="F367" s="13"/>
      <c r="G367" s="13"/>
      <c r="H367" s="13"/>
      <c r="I367" s="13"/>
      <c r="J367" s="13"/>
      <c r="K367" s="4"/>
      <c r="L367" s="4"/>
      <c r="M367" s="4"/>
      <c r="Q367" s="4"/>
      <c r="R367" s="4"/>
      <c r="S367" s="4"/>
      <c r="T367" s="4"/>
      <c r="U367" s="4"/>
      <c r="V367" s="4"/>
      <c r="W367" s="4"/>
      <c r="X367" s="4"/>
    </row>
    <row r="368" spans="3:24">
      <c r="C368" s="4"/>
      <c r="D368" s="13"/>
      <c r="E368" s="13"/>
      <c r="F368" s="13"/>
      <c r="G368" s="13"/>
      <c r="H368" s="13"/>
      <c r="I368" s="13"/>
      <c r="J368" s="13"/>
      <c r="K368" s="4"/>
      <c r="L368" s="4"/>
      <c r="M368" s="4"/>
      <c r="Q368" s="4"/>
      <c r="R368" s="4"/>
      <c r="S368" s="4"/>
      <c r="T368" s="4"/>
      <c r="U368" s="4"/>
      <c r="V368" s="4"/>
      <c r="W368" s="4"/>
      <c r="X368" s="4"/>
    </row>
    <row r="385" spans="3:24">
      <c r="C385" s="4"/>
      <c r="D385" s="13"/>
      <c r="E385" s="13"/>
      <c r="F385" s="13"/>
      <c r="G385" s="13"/>
      <c r="H385" s="13"/>
      <c r="I385" s="13"/>
      <c r="J385" s="13"/>
      <c r="K385" s="4"/>
      <c r="L385" s="4"/>
      <c r="M385" s="4"/>
      <c r="Q385" s="4"/>
      <c r="R385" s="4"/>
      <c r="S385" s="4"/>
      <c r="T385" s="4"/>
      <c r="U385" s="4"/>
      <c r="V385" s="4"/>
      <c r="W385" s="4"/>
      <c r="X385" s="4"/>
    </row>
    <row r="386" spans="3:24">
      <c r="C386" s="4"/>
      <c r="D386" s="13"/>
      <c r="E386" s="13"/>
      <c r="F386" s="13"/>
      <c r="G386" s="13"/>
      <c r="H386" s="13"/>
      <c r="I386" s="13"/>
      <c r="J386" s="13"/>
      <c r="K386" s="4"/>
      <c r="L386" s="4"/>
      <c r="M386" s="4"/>
      <c r="Q386" s="4"/>
      <c r="R386" s="4"/>
      <c r="S386" s="4"/>
      <c r="T386" s="4"/>
      <c r="U386" s="4"/>
      <c r="V386" s="4"/>
      <c r="W386" s="4"/>
      <c r="X386" s="4"/>
    </row>
    <row r="387" spans="3:24">
      <c r="C387" s="4"/>
      <c r="D387" s="13"/>
      <c r="E387" s="13"/>
      <c r="F387" s="13"/>
      <c r="G387" s="13"/>
      <c r="H387" s="13"/>
      <c r="I387" s="13"/>
      <c r="J387" s="13"/>
      <c r="K387" s="4"/>
      <c r="L387" s="4"/>
      <c r="M387" s="4"/>
      <c r="Q387" s="4"/>
      <c r="R387" s="4"/>
      <c r="S387" s="4"/>
      <c r="T387" s="4"/>
      <c r="U387" s="4"/>
      <c r="V387" s="4"/>
      <c r="W387" s="4"/>
      <c r="X387" s="4"/>
    </row>
    <row r="388" spans="3:24">
      <c r="C388" s="4"/>
      <c r="D388" s="13"/>
      <c r="E388" s="13"/>
      <c r="F388" s="13"/>
      <c r="G388" s="13"/>
      <c r="H388" s="13"/>
      <c r="I388" s="13"/>
      <c r="J388" s="13"/>
      <c r="K388" s="4"/>
      <c r="L388" s="4"/>
      <c r="M388" s="4"/>
      <c r="Q388" s="4"/>
      <c r="R388" s="4"/>
      <c r="S388" s="4"/>
      <c r="T388" s="4"/>
      <c r="U388" s="4"/>
      <c r="V388" s="4"/>
      <c r="W388" s="4"/>
      <c r="X388" s="4"/>
    </row>
    <row r="389" spans="3:24">
      <c r="C389" s="4"/>
      <c r="D389" s="13"/>
      <c r="E389" s="13"/>
      <c r="F389" s="13"/>
      <c r="G389" s="13"/>
      <c r="H389" s="13"/>
      <c r="I389" s="13"/>
      <c r="J389" s="13"/>
      <c r="K389" s="4"/>
      <c r="L389" s="4"/>
      <c r="M389" s="4"/>
      <c r="Q389" s="4"/>
      <c r="R389" s="4"/>
      <c r="S389" s="4"/>
      <c r="T389" s="4"/>
      <c r="U389" s="4"/>
      <c r="V389" s="4"/>
      <c r="W389" s="4"/>
      <c r="X389" s="4"/>
    </row>
    <row r="390" spans="3:24">
      <c r="C390" s="4"/>
      <c r="D390" s="13"/>
      <c r="E390" s="13"/>
      <c r="F390" s="13"/>
      <c r="G390" s="13"/>
      <c r="H390" s="13"/>
      <c r="I390" s="13"/>
      <c r="J390" s="13"/>
      <c r="K390" s="4"/>
      <c r="L390" s="4"/>
      <c r="M390" s="4"/>
      <c r="Q390" s="4"/>
      <c r="R390" s="4"/>
      <c r="S390" s="4"/>
      <c r="T390" s="4"/>
      <c r="U390" s="4"/>
      <c r="V390" s="4"/>
      <c r="W390" s="4"/>
      <c r="X390" s="4"/>
    </row>
    <row r="391" spans="3:24">
      <c r="C391" s="4"/>
      <c r="D391" s="13"/>
      <c r="E391" s="13"/>
      <c r="F391" s="13"/>
      <c r="G391" s="13"/>
      <c r="H391" s="13"/>
      <c r="I391" s="13"/>
      <c r="J391" s="13"/>
      <c r="K391" s="4"/>
      <c r="L391" s="4"/>
      <c r="M391" s="4"/>
      <c r="Q391" s="4"/>
      <c r="R391" s="4"/>
      <c r="S391" s="4"/>
      <c r="T391" s="4"/>
      <c r="U391" s="4"/>
      <c r="V391" s="4"/>
      <c r="W391" s="4"/>
      <c r="X391" s="4"/>
    </row>
    <row r="392" spans="3:24">
      <c r="C392" s="4"/>
      <c r="D392" s="13"/>
      <c r="E392" s="13"/>
      <c r="F392" s="13"/>
      <c r="G392" s="13"/>
      <c r="H392" s="13"/>
      <c r="I392" s="13"/>
      <c r="J392" s="13"/>
      <c r="K392" s="4"/>
      <c r="L392" s="4"/>
      <c r="M392" s="4"/>
      <c r="Q392" s="4"/>
      <c r="R392" s="4"/>
      <c r="S392" s="4"/>
      <c r="T392" s="4"/>
      <c r="U392" s="4"/>
      <c r="V392" s="4"/>
      <c r="W392" s="4"/>
      <c r="X392" s="4"/>
    </row>
    <row r="393" spans="3:24">
      <c r="C393" s="4"/>
      <c r="D393" s="13"/>
      <c r="E393" s="13"/>
      <c r="F393" s="13"/>
      <c r="G393" s="13"/>
      <c r="H393" s="13"/>
      <c r="I393" s="13"/>
      <c r="J393" s="13"/>
      <c r="K393" s="4"/>
      <c r="L393" s="4"/>
      <c r="M393" s="4"/>
      <c r="Q393" s="4"/>
      <c r="R393" s="4"/>
      <c r="S393" s="4"/>
      <c r="T393" s="4"/>
      <c r="U393" s="4"/>
      <c r="V393" s="4"/>
      <c r="W393" s="4"/>
      <c r="X393" s="4"/>
    </row>
    <row r="394" spans="3:24">
      <c r="C394" s="4"/>
      <c r="D394" s="13"/>
      <c r="E394" s="13"/>
      <c r="F394" s="13"/>
      <c r="G394" s="13"/>
      <c r="H394" s="13"/>
      <c r="I394" s="13"/>
      <c r="J394" s="13"/>
      <c r="K394" s="4"/>
      <c r="L394" s="4"/>
      <c r="M394" s="4"/>
      <c r="Q394" s="4"/>
      <c r="R394" s="4"/>
      <c r="S394" s="4"/>
      <c r="T394" s="4"/>
      <c r="U394" s="4"/>
      <c r="V394" s="4"/>
      <c r="W394" s="4"/>
      <c r="X394" s="4"/>
    </row>
    <row r="395" spans="3:24">
      <c r="C395" s="4"/>
      <c r="D395" s="13"/>
      <c r="E395" s="13"/>
      <c r="F395" s="13"/>
      <c r="G395" s="13"/>
      <c r="H395" s="13"/>
      <c r="I395" s="13"/>
      <c r="J395" s="13"/>
      <c r="K395" s="4"/>
      <c r="L395" s="4"/>
      <c r="M395" s="4"/>
      <c r="Q395" s="4"/>
      <c r="R395" s="4"/>
      <c r="S395" s="4"/>
      <c r="T395" s="4"/>
      <c r="U395" s="4"/>
      <c r="V395" s="4"/>
      <c r="W395" s="4"/>
      <c r="X395" s="4"/>
    </row>
    <row r="396" spans="3:24">
      <c r="C396" s="4"/>
      <c r="D396" s="13"/>
      <c r="E396" s="13"/>
      <c r="F396" s="13"/>
      <c r="G396" s="13"/>
      <c r="H396" s="13"/>
      <c r="I396" s="13"/>
      <c r="J396" s="13"/>
      <c r="K396" s="4"/>
      <c r="L396" s="4"/>
      <c r="M396" s="4"/>
      <c r="Q396" s="4"/>
      <c r="R396" s="4"/>
      <c r="S396" s="4"/>
      <c r="T396" s="4"/>
      <c r="U396" s="4"/>
      <c r="V396" s="4"/>
      <c r="W396" s="4"/>
      <c r="X396" s="4"/>
    </row>
    <row r="397" spans="3:24">
      <c r="C397" s="4"/>
      <c r="D397" s="13"/>
      <c r="E397" s="13"/>
      <c r="F397" s="13"/>
      <c r="G397" s="13"/>
      <c r="H397" s="13"/>
      <c r="I397" s="13"/>
      <c r="J397" s="13"/>
      <c r="K397" s="4"/>
      <c r="L397" s="4"/>
      <c r="M397" s="4"/>
      <c r="Q397" s="4"/>
      <c r="R397" s="4"/>
      <c r="S397" s="4"/>
      <c r="T397" s="4"/>
      <c r="U397" s="4"/>
      <c r="V397" s="4"/>
      <c r="W397" s="4"/>
      <c r="X397" s="4"/>
    </row>
    <row r="398" spans="3:24">
      <c r="C398" s="4"/>
      <c r="D398" s="13"/>
      <c r="E398" s="13"/>
      <c r="F398" s="13"/>
      <c r="G398" s="13"/>
      <c r="H398" s="13"/>
      <c r="I398" s="13"/>
      <c r="J398" s="13"/>
      <c r="K398" s="4"/>
      <c r="L398" s="4"/>
      <c r="M398" s="4"/>
      <c r="Q398" s="4"/>
      <c r="R398" s="4"/>
      <c r="S398" s="4"/>
      <c r="T398" s="4"/>
      <c r="U398" s="4"/>
      <c r="V398" s="4"/>
      <c r="W398" s="4"/>
      <c r="X398" s="4"/>
    </row>
    <row r="399" spans="3:24">
      <c r="C399" s="4"/>
      <c r="D399" s="13"/>
      <c r="E399" s="13"/>
      <c r="F399" s="13"/>
      <c r="G399" s="13"/>
      <c r="H399" s="13"/>
      <c r="I399" s="13"/>
      <c r="J399" s="13"/>
      <c r="K399" s="4"/>
      <c r="L399" s="4"/>
      <c r="M399" s="4"/>
      <c r="Q399" s="4"/>
      <c r="R399" s="4"/>
      <c r="S399" s="4"/>
      <c r="T399" s="4"/>
      <c r="U399" s="4"/>
      <c r="V399" s="4"/>
      <c r="W399" s="4"/>
      <c r="X399" s="4"/>
    </row>
    <row r="400" spans="3:24">
      <c r="C400" s="4"/>
      <c r="D400" s="13"/>
      <c r="E400" s="13"/>
      <c r="F400" s="13"/>
      <c r="G400" s="13"/>
      <c r="H400" s="13"/>
      <c r="I400" s="13"/>
      <c r="J400" s="13"/>
      <c r="K400" s="4"/>
      <c r="L400" s="4"/>
      <c r="M400" s="4"/>
      <c r="Q400" s="4"/>
      <c r="R400" s="4"/>
      <c r="S400" s="4"/>
      <c r="T400" s="4"/>
      <c r="U400" s="4"/>
      <c r="V400" s="4"/>
      <c r="W400" s="4"/>
      <c r="X400" s="4"/>
    </row>
    <row r="401" spans="3:24">
      <c r="C401" s="4"/>
      <c r="D401" s="13"/>
      <c r="E401" s="13"/>
      <c r="F401" s="13"/>
      <c r="G401" s="13"/>
      <c r="H401" s="13"/>
      <c r="I401" s="13"/>
      <c r="J401" s="13"/>
      <c r="K401" s="4"/>
      <c r="L401" s="4"/>
      <c r="M401" s="4"/>
      <c r="Q401" s="4"/>
      <c r="R401" s="4"/>
      <c r="S401" s="4"/>
      <c r="T401" s="4"/>
      <c r="U401" s="4"/>
      <c r="V401" s="4"/>
      <c r="W401" s="4"/>
      <c r="X401" s="4"/>
    </row>
    <row r="402" spans="3:24">
      <c r="C402" s="4"/>
      <c r="D402" s="13"/>
      <c r="E402" s="13"/>
      <c r="F402" s="13"/>
      <c r="G402" s="13"/>
      <c r="H402" s="13"/>
      <c r="I402" s="13"/>
      <c r="J402" s="13"/>
      <c r="K402" s="4"/>
      <c r="L402" s="4"/>
      <c r="M402" s="4"/>
      <c r="Q402" s="4"/>
      <c r="R402" s="4"/>
      <c r="S402" s="4"/>
      <c r="T402" s="4"/>
      <c r="U402" s="4"/>
      <c r="V402" s="4"/>
      <c r="W402" s="4"/>
      <c r="X402" s="4"/>
    </row>
    <row r="403" spans="3:24">
      <c r="C403" s="4"/>
      <c r="D403" s="13"/>
      <c r="E403" s="13"/>
      <c r="F403" s="13"/>
      <c r="G403" s="13"/>
      <c r="H403" s="13"/>
      <c r="I403" s="13"/>
      <c r="J403" s="13"/>
      <c r="K403" s="4"/>
      <c r="L403" s="4"/>
      <c r="M403" s="4"/>
      <c r="Q403" s="4"/>
      <c r="R403" s="4"/>
      <c r="S403" s="4"/>
      <c r="T403" s="4"/>
      <c r="U403" s="4"/>
      <c r="V403" s="4"/>
      <c r="W403" s="4"/>
      <c r="X403" s="4"/>
    </row>
    <row r="404" spans="3:24">
      <c r="C404" s="4"/>
      <c r="D404" s="13"/>
      <c r="E404" s="13"/>
      <c r="F404" s="13"/>
      <c r="G404" s="13"/>
      <c r="H404" s="13"/>
      <c r="I404" s="13"/>
      <c r="J404" s="13"/>
      <c r="K404" s="4"/>
      <c r="L404" s="4"/>
      <c r="M404" s="4"/>
      <c r="Q404" s="4"/>
      <c r="R404" s="4"/>
      <c r="S404" s="4"/>
      <c r="T404" s="4"/>
      <c r="U404" s="4"/>
      <c r="V404" s="4"/>
      <c r="W404" s="4"/>
      <c r="X404" s="4"/>
    </row>
    <row r="405" spans="3:24">
      <c r="C405" s="4"/>
      <c r="D405" s="13"/>
      <c r="E405" s="13"/>
      <c r="F405" s="13"/>
      <c r="G405" s="13"/>
      <c r="H405" s="13"/>
      <c r="I405" s="13"/>
      <c r="J405" s="13"/>
      <c r="K405" s="4"/>
      <c r="L405" s="4"/>
      <c r="M405" s="4"/>
      <c r="Q405" s="4"/>
      <c r="R405" s="4"/>
      <c r="S405" s="4"/>
      <c r="T405" s="4"/>
      <c r="U405" s="4"/>
      <c r="V405" s="4"/>
      <c r="W405" s="4"/>
      <c r="X405" s="4"/>
    </row>
    <row r="406" spans="3:24">
      <c r="C406" s="4"/>
      <c r="D406" s="13"/>
      <c r="E406" s="13"/>
      <c r="F406" s="13"/>
      <c r="G406" s="13"/>
      <c r="H406" s="13"/>
      <c r="I406" s="13"/>
      <c r="J406" s="13"/>
      <c r="K406" s="4"/>
      <c r="L406" s="4"/>
      <c r="M406" s="4"/>
      <c r="Q406" s="4"/>
      <c r="R406" s="4"/>
      <c r="S406" s="4"/>
      <c r="T406" s="4"/>
      <c r="U406" s="4"/>
      <c r="V406" s="4"/>
      <c r="W406" s="4"/>
      <c r="X406" s="4"/>
    </row>
    <row r="407" spans="3:24">
      <c r="C407" s="4"/>
      <c r="D407" s="13"/>
      <c r="E407" s="13"/>
      <c r="F407" s="13"/>
      <c r="G407" s="13"/>
      <c r="H407" s="13"/>
      <c r="I407" s="13"/>
      <c r="J407" s="13"/>
      <c r="K407" s="4"/>
      <c r="L407" s="4"/>
      <c r="M407" s="4"/>
      <c r="Q407" s="4"/>
      <c r="R407" s="4"/>
      <c r="S407" s="4"/>
      <c r="T407" s="4"/>
      <c r="U407" s="4"/>
      <c r="V407" s="4"/>
      <c r="W407" s="4"/>
      <c r="X407" s="4"/>
    </row>
    <row r="408" spans="3:24">
      <c r="C408" s="4"/>
      <c r="D408" s="13"/>
      <c r="E408" s="13"/>
      <c r="F408" s="13"/>
      <c r="G408" s="13"/>
      <c r="H408" s="13"/>
      <c r="I408" s="13"/>
      <c r="J408" s="13"/>
      <c r="K408" s="4"/>
      <c r="L408" s="4"/>
      <c r="M408" s="4"/>
      <c r="Q408" s="4"/>
      <c r="R408" s="4"/>
      <c r="S408" s="4"/>
      <c r="T408" s="4"/>
      <c r="U408" s="4"/>
      <c r="V408" s="4"/>
      <c r="W408" s="4"/>
      <c r="X408" s="4"/>
    </row>
    <row r="409" spans="3:24">
      <c r="C409" s="4"/>
      <c r="D409" s="13"/>
      <c r="E409" s="13"/>
      <c r="F409" s="13"/>
      <c r="G409" s="13"/>
      <c r="H409" s="13"/>
      <c r="I409" s="13"/>
      <c r="J409" s="13"/>
      <c r="K409" s="4"/>
      <c r="L409" s="4"/>
      <c r="M409" s="4"/>
      <c r="Q409" s="4"/>
      <c r="R409" s="4"/>
      <c r="S409" s="4"/>
      <c r="T409" s="4"/>
      <c r="U409" s="4"/>
      <c r="V409" s="4"/>
      <c r="W409" s="4"/>
      <c r="X409" s="4"/>
    </row>
    <row r="410" spans="3:24">
      <c r="C410" s="4"/>
      <c r="D410" s="13"/>
      <c r="E410" s="13"/>
      <c r="F410" s="13"/>
      <c r="G410" s="13"/>
      <c r="H410" s="13"/>
      <c r="I410" s="13"/>
      <c r="J410" s="13"/>
      <c r="K410" s="4"/>
      <c r="L410" s="4"/>
      <c r="M410" s="4"/>
      <c r="Q410" s="4"/>
      <c r="R410" s="4"/>
      <c r="S410" s="4"/>
      <c r="T410" s="4"/>
      <c r="U410" s="4"/>
      <c r="V410" s="4"/>
      <c r="W410" s="4"/>
      <c r="X410" s="4"/>
    </row>
    <row r="411" spans="3:24">
      <c r="C411" s="4"/>
      <c r="D411" s="13"/>
      <c r="E411" s="13"/>
      <c r="F411" s="13"/>
      <c r="G411" s="13"/>
      <c r="H411" s="13"/>
      <c r="I411" s="13"/>
      <c r="J411" s="13"/>
      <c r="K411" s="4"/>
      <c r="L411" s="4"/>
      <c r="M411" s="4"/>
      <c r="Q411" s="4"/>
      <c r="R411" s="4"/>
      <c r="S411" s="4"/>
      <c r="T411" s="4"/>
      <c r="U411" s="4"/>
      <c r="V411" s="4"/>
      <c r="W411" s="4"/>
      <c r="X411" s="4"/>
    </row>
    <row r="412" spans="3:24">
      <c r="C412" s="4"/>
      <c r="D412" s="13"/>
      <c r="E412" s="13"/>
      <c r="F412" s="13"/>
      <c r="G412" s="13"/>
      <c r="H412" s="13"/>
      <c r="I412" s="13"/>
      <c r="J412" s="13"/>
      <c r="K412" s="4"/>
      <c r="L412" s="4"/>
      <c r="M412" s="4"/>
      <c r="Q412" s="4"/>
      <c r="R412" s="4"/>
      <c r="S412" s="4"/>
      <c r="T412" s="4"/>
      <c r="U412" s="4"/>
      <c r="V412" s="4"/>
      <c r="W412" s="4"/>
      <c r="X412" s="4"/>
    </row>
    <row r="413" spans="3:24">
      <c r="C413" s="4"/>
      <c r="D413" s="13"/>
      <c r="E413" s="13"/>
      <c r="F413" s="13"/>
      <c r="G413" s="13"/>
      <c r="H413" s="13"/>
      <c r="I413" s="13"/>
      <c r="J413" s="13"/>
      <c r="K413" s="4"/>
      <c r="L413" s="4"/>
      <c r="M413" s="4"/>
      <c r="Q413" s="4"/>
      <c r="R413" s="4"/>
      <c r="S413" s="4"/>
      <c r="T413" s="4"/>
      <c r="U413" s="4"/>
      <c r="V413" s="4"/>
      <c r="W413" s="4"/>
      <c r="X413" s="4"/>
    </row>
    <row r="414" spans="3:24">
      <c r="C414" s="4"/>
      <c r="D414" s="13"/>
      <c r="E414" s="13"/>
      <c r="F414" s="13"/>
      <c r="G414" s="13"/>
      <c r="H414" s="13"/>
      <c r="I414" s="13"/>
      <c r="J414" s="13"/>
      <c r="K414" s="4"/>
      <c r="L414" s="4"/>
      <c r="M414" s="4"/>
      <c r="Q414" s="4"/>
      <c r="R414" s="4"/>
      <c r="S414" s="4"/>
      <c r="T414" s="4"/>
      <c r="U414" s="4"/>
      <c r="V414" s="4"/>
      <c r="W414" s="4"/>
      <c r="X414" s="4"/>
    </row>
    <row r="415" spans="3:24">
      <c r="C415" s="4"/>
      <c r="D415" s="13"/>
      <c r="E415" s="13"/>
      <c r="F415" s="13"/>
      <c r="G415" s="13"/>
      <c r="H415" s="13"/>
      <c r="I415" s="13"/>
      <c r="J415" s="13"/>
      <c r="K415" s="4"/>
      <c r="L415" s="4"/>
      <c r="M415" s="4"/>
      <c r="Q415" s="4"/>
      <c r="R415" s="4"/>
      <c r="S415" s="4"/>
      <c r="T415" s="4"/>
      <c r="U415" s="4"/>
      <c r="V415" s="4"/>
      <c r="W415" s="4"/>
      <c r="X415" s="4"/>
    </row>
    <row r="416" spans="3:24">
      <c r="C416" s="4"/>
      <c r="D416" s="13"/>
      <c r="E416" s="13"/>
      <c r="F416" s="13"/>
      <c r="G416" s="13"/>
      <c r="H416" s="13"/>
      <c r="I416" s="13"/>
      <c r="J416" s="13"/>
      <c r="K416" s="4"/>
      <c r="L416" s="4"/>
      <c r="M416" s="4"/>
      <c r="Q416" s="4"/>
      <c r="R416" s="4"/>
      <c r="S416" s="4"/>
      <c r="T416" s="4"/>
      <c r="U416" s="4"/>
      <c r="V416" s="4"/>
      <c r="W416" s="4"/>
      <c r="X416" s="4"/>
    </row>
    <row r="417" spans="3:24">
      <c r="C417" s="4"/>
      <c r="D417" s="13"/>
      <c r="E417" s="13"/>
      <c r="F417" s="13"/>
      <c r="G417" s="13"/>
      <c r="H417" s="13"/>
      <c r="I417" s="13"/>
      <c r="J417" s="13"/>
      <c r="K417" s="4"/>
      <c r="L417" s="4"/>
      <c r="M417" s="4"/>
      <c r="Q417" s="4"/>
      <c r="R417" s="4"/>
      <c r="S417" s="4"/>
      <c r="T417" s="4"/>
      <c r="U417" s="4"/>
      <c r="V417" s="4"/>
      <c r="W417" s="4"/>
      <c r="X417" s="4"/>
    </row>
    <row r="418" spans="3:24">
      <c r="C418" s="4"/>
      <c r="D418" s="13"/>
      <c r="E418" s="13"/>
      <c r="F418" s="13"/>
      <c r="G418" s="13"/>
      <c r="H418" s="13"/>
      <c r="I418" s="13"/>
      <c r="J418" s="13"/>
      <c r="K418" s="4"/>
      <c r="L418" s="4"/>
      <c r="M418" s="4"/>
      <c r="Q418" s="4"/>
      <c r="R418" s="4"/>
      <c r="S418" s="4"/>
      <c r="T418" s="4"/>
      <c r="U418" s="4"/>
      <c r="V418" s="4"/>
      <c r="W418" s="4"/>
      <c r="X418" s="4"/>
    </row>
    <row r="419" spans="3:24">
      <c r="C419" s="4"/>
      <c r="D419" s="13"/>
      <c r="E419" s="13"/>
      <c r="F419" s="13"/>
      <c r="G419" s="13"/>
      <c r="H419" s="13"/>
      <c r="I419" s="13"/>
      <c r="J419" s="13"/>
      <c r="K419" s="4"/>
      <c r="L419" s="4"/>
      <c r="M419" s="4"/>
      <c r="Q419" s="4"/>
      <c r="R419" s="4"/>
      <c r="S419" s="4"/>
      <c r="T419" s="4"/>
      <c r="U419" s="4"/>
      <c r="V419" s="4"/>
      <c r="W419" s="4"/>
      <c r="X419" s="4"/>
    </row>
    <row r="420" spans="3:24">
      <c r="C420" s="4"/>
      <c r="D420" s="13"/>
      <c r="E420" s="13"/>
      <c r="F420" s="13"/>
      <c r="G420" s="13"/>
      <c r="H420" s="13"/>
      <c r="I420" s="13"/>
      <c r="J420" s="13"/>
      <c r="K420" s="4"/>
      <c r="L420" s="4"/>
      <c r="M420" s="4"/>
      <c r="Q420" s="4"/>
      <c r="R420" s="4"/>
      <c r="S420" s="4"/>
      <c r="T420" s="4"/>
      <c r="U420" s="4"/>
      <c r="V420" s="4"/>
      <c r="W420" s="4"/>
      <c r="X420" s="4"/>
    </row>
    <row r="421" spans="3:24">
      <c r="C421" s="4"/>
      <c r="D421" s="13"/>
      <c r="E421" s="13"/>
      <c r="F421" s="13"/>
      <c r="G421" s="13"/>
      <c r="H421" s="13"/>
      <c r="I421" s="13"/>
      <c r="J421" s="13"/>
      <c r="K421" s="4"/>
      <c r="L421" s="4"/>
      <c r="M421" s="4"/>
      <c r="Q421" s="4"/>
      <c r="R421" s="4"/>
      <c r="S421" s="4"/>
      <c r="T421" s="4"/>
      <c r="U421" s="4"/>
      <c r="V421" s="4"/>
      <c r="W421" s="4"/>
      <c r="X421" s="4"/>
    </row>
    <row r="422" spans="3:24">
      <c r="C422" s="4"/>
      <c r="D422" s="13"/>
      <c r="E422" s="13"/>
      <c r="F422" s="13"/>
      <c r="G422" s="13"/>
      <c r="H422" s="13"/>
      <c r="I422" s="13"/>
      <c r="J422" s="13"/>
      <c r="K422" s="4"/>
      <c r="L422" s="4"/>
      <c r="M422" s="4"/>
      <c r="Q422" s="4"/>
      <c r="R422" s="4"/>
      <c r="S422" s="4"/>
      <c r="T422" s="4"/>
      <c r="U422" s="4"/>
      <c r="V422" s="4"/>
      <c r="W422" s="4"/>
      <c r="X422" s="4"/>
    </row>
    <row r="423" spans="3:24">
      <c r="C423" s="4"/>
      <c r="D423" s="13"/>
      <c r="E423" s="13"/>
      <c r="F423" s="13"/>
      <c r="G423" s="13"/>
      <c r="H423" s="13"/>
      <c r="I423" s="13"/>
      <c r="J423" s="13"/>
      <c r="K423" s="4"/>
      <c r="L423" s="4"/>
      <c r="M423" s="4"/>
      <c r="Q423" s="4"/>
      <c r="R423" s="4"/>
      <c r="S423" s="4"/>
      <c r="T423" s="4"/>
      <c r="U423" s="4"/>
      <c r="V423" s="4"/>
      <c r="W423" s="4"/>
      <c r="X423" s="4"/>
    </row>
    <row r="424" spans="3:24">
      <c r="C424" s="4"/>
      <c r="D424" s="13"/>
      <c r="E424" s="13"/>
      <c r="F424" s="13"/>
      <c r="G424" s="13"/>
      <c r="H424" s="13"/>
      <c r="I424" s="13"/>
      <c r="J424" s="13"/>
      <c r="K424" s="4"/>
      <c r="L424" s="4"/>
      <c r="M424" s="4"/>
      <c r="Q424" s="4"/>
      <c r="R424" s="4"/>
      <c r="S424" s="4"/>
      <c r="T424" s="4"/>
      <c r="U424" s="4"/>
      <c r="V424" s="4"/>
      <c r="W424" s="4"/>
      <c r="X424" s="4"/>
    </row>
    <row r="425" spans="3:24">
      <c r="C425" s="4"/>
      <c r="D425" s="13"/>
      <c r="E425" s="13"/>
      <c r="F425" s="13"/>
      <c r="G425" s="13"/>
      <c r="H425" s="13"/>
      <c r="I425" s="13"/>
      <c r="J425" s="13"/>
      <c r="K425" s="4"/>
      <c r="L425" s="4"/>
      <c r="M425" s="4"/>
      <c r="Q425" s="4"/>
      <c r="R425" s="4"/>
      <c r="S425" s="4"/>
      <c r="T425" s="4"/>
      <c r="U425" s="4"/>
      <c r="V425" s="4"/>
      <c r="W425" s="4"/>
      <c r="X425" s="4"/>
    </row>
    <row r="426" spans="3:24">
      <c r="C426" s="4"/>
      <c r="D426" s="13"/>
      <c r="E426" s="13"/>
      <c r="F426" s="13"/>
      <c r="G426" s="13"/>
      <c r="H426" s="13"/>
      <c r="I426" s="13"/>
      <c r="J426" s="13"/>
      <c r="K426" s="4"/>
      <c r="L426" s="4"/>
      <c r="M426" s="4"/>
      <c r="Q426" s="4"/>
      <c r="R426" s="4"/>
      <c r="S426" s="4"/>
      <c r="T426" s="4"/>
      <c r="U426" s="4"/>
      <c r="V426" s="4"/>
      <c r="W426" s="4"/>
      <c r="X426" s="4"/>
    </row>
    <row r="427" spans="3:24">
      <c r="C427" s="4"/>
      <c r="D427" s="13"/>
      <c r="E427" s="13"/>
      <c r="F427" s="13"/>
      <c r="G427" s="13"/>
      <c r="H427" s="13"/>
      <c r="I427" s="13"/>
      <c r="J427" s="13"/>
      <c r="K427" s="4"/>
      <c r="L427" s="4"/>
      <c r="M427" s="4"/>
      <c r="Q427" s="4"/>
      <c r="R427" s="4"/>
      <c r="S427" s="4"/>
      <c r="T427" s="4"/>
      <c r="U427" s="4"/>
      <c r="V427" s="4"/>
      <c r="W427" s="4"/>
      <c r="X427" s="4"/>
    </row>
    <row r="428" spans="3:24">
      <c r="C428" s="4"/>
      <c r="D428" s="13"/>
      <c r="E428" s="13"/>
      <c r="F428" s="13"/>
      <c r="G428" s="13"/>
      <c r="H428" s="13"/>
      <c r="I428" s="13"/>
      <c r="J428" s="13"/>
      <c r="K428" s="4"/>
      <c r="L428" s="4"/>
      <c r="M428" s="4"/>
      <c r="Q428" s="4"/>
      <c r="R428" s="4"/>
      <c r="S428" s="4"/>
      <c r="T428" s="4"/>
      <c r="U428" s="4"/>
      <c r="V428" s="4"/>
      <c r="W428" s="4"/>
      <c r="X428" s="4"/>
    </row>
    <row r="429" spans="3:24">
      <c r="C429" s="4"/>
      <c r="D429" s="13"/>
      <c r="E429" s="13"/>
      <c r="F429" s="13"/>
      <c r="G429" s="13"/>
      <c r="H429" s="13"/>
      <c r="I429" s="13"/>
      <c r="J429" s="13"/>
      <c r="K429" s="4"/>
      <c r="L429" s="4"/>
      <c r="M429" s="4"/>
      <c r="Q429" s="4"/>
      <c r="R429" s="4"/>
      <c r="S429" s="4"/>
      <c r="T429" s="4"/>
      <c r="U429" s="4"/>
      <c r="V429" s="4"/>
      <c r="W429" s="4"/>
      <c r="X429" s="4"/>
    </row>
    <row r="430" spans="3:24">
      <c r="C430" s="4"/>
      <c r="D430" s="13"/>
      <c r="E430" s="13"/>
      <c r="F430" s="13"/>
      <c r="G430" s="13"/>
      <c r="H430" s="13"/>
      <c r="I430" s="13"/>
      <c r="J430" s="13"/>
      <c r="K430" s="4"/>
      <c r="L430" s="4"/>
      <c r="M430" s="4"/>
      <c r="Q430" s="4"/>
      <c r="R430" s="4"/>
      <c r="S430" s="4"/>
      <c r="T430" s="4"/>
      <c r="U430" s="4"/>
      <c r="V430" s="4"/>
      <c r="W430" s="4"/>
      <c r="X430" s="4"/>
    </row>
    <row r="431" spans="3:24">
      <c r="C431" s="4"/>
      <c r="D431" s="13"/>
      <c r="E431" s="13"/>
      <c r="F431" s="13"/>
      <c r="G431" s="13"/>
      <c r="H431" s="13"/>
      <c r="I431" s="13"/>
      <c r="J431" s="13"/>
      <c r="K431" s="4"/>
      <c r="L431" s="4"/>
      <c r="M431" s="4"/>
      <c r="Q431" s="4"/>
      <c r="R431" s="4"/>
      <c r="S431" s="4"/>
      <c r="T431" s="4"/>
      <c r="U431" s="4"/>
      <c r="V431" s="4"/>
      <c r="W431" s="4"/>
      <c r="X431" s="4"/>
    </row>
    <row r="432" spans="3:24">
      <c r="C432" s="4"/>
      <c r="D432" s="13"/>
      <c r="E432" s="13"/>
      <c r="F432" s="13"/>
      <c r="G432" s="13"/>
      <c r="H432" s="13"/>
      <c r="I432" s="13"/>
      <c r="J432" s="13"/>
      <c r="K432" s="4"/>
      <c r="L432" s="4"/>
      <c r="M432" s="4"/>
      <c r="Q432" s="4"/>
      <c r="R432" s="4"/>
      <c r="S432" s="4"/>
      <c r="T432" s="4"/>
      <c r="U432" s="4"/>
      <c r="V432" s="4"/>
      <c r="W432" s="4"/>
      <c r="X432" s="4"/>
    </row>
    <row r="433" spans="3:24">
      <c r="C433" s="4"/>
      <c r="D433" s="13"/>
      <c r="E433" s="13"/>
      <c r="F433" s="13"/>
      <c r="G433" s="13"/>
      <c r="H433" s="13"/>
      <c r="I433" s="13"/>
      <c r="J433" s="13"/>
      <c r="K433" s="4"/>
      <c r="L433" s="4"/>
      <c r="M433" s="4"/>
      <c r="Q433" s="4"/>
      <c r="R433" s="4"/>
      <c r="S433" s="4"/>
      <c r="T433" s="4"/>
      <c r="U433" s="4"/>
      <c r="V433" s="4"/>
      <c r="W433" s="4"/>
      <c r="X433" s="4"/>
    </row>
    <row r="434" spans="3:24">
      <c r="C434" s="4"/>
      <c r="D434" s="13"/>
      <c r="E434" s="13"/>
      <c r="F434" s="13"/>
      <c r="G434" s="13"/>
      <c r="H434" s="13"/>
      <c r="I434" s="13"/>
      <c r="J434" s="13"/>
      <c r="K434" s="4"/>
      <c r="L434" s="4"/>
      <c r="M434" s="4"/>
      <c r="Q434" s="4"/>
      <c r="R434" s="4"/>
      <c r="S434" s="4"/>
      <c r="T434" s="4"/>
      <c r="U434" s="4"/>
      <c r="V434" s="4"/>
      <c r="W434" s="4"/>
      <c r="X434" s="4"/>
    </row>
    <row r="435" spans="3:24">
      <c r="C435" s="4"/>
      <c r="D435" s="13"/>
      <c r="E435" s="13"/>
      <c r="F435" s="13"/>
      <c r="G435" s="13"/>
      <c r="H435" s="13"/>
      <c r="I435" s="13"/>
      <c r="J435" s="13"/>
      <c r="K435" s="4"/>
      <c r="L435" s="4"/>
      <c r="M435" s="4"/>
      <c r="Q435" s="4"/>
      <c r="R435" s="4"/>
      <c r="S435" s="4"/>
      <c r="T435" s="4"/>
      <c r="U435" s="4"/>
      <c r="V435" s="4"/>
      <c r="W435" s="4"/>
      <c r="X435" s="4"/>
    </row>
    <row r="436" spans="3:24">
      <c r="C436" s="4"/>
      <c r="D436" s="13"/>
      <c r="E436" s="13"/>
      <c r="F436" s="13"/>
      <c r="G436" s="13"/>
      <c r="H436" s="13"/>
      <c r="I436" s="13"/>
      <c r="J436" s="13"/>
      <c r="K436" s="4"/>
      <c r="L436" s="4"/>
      <c r="M436" s="4"/>
      <c r="Q436" s="4"/>
      <c r="R436" s="4"/>
      <c r="S436" s="4"/>
      <c r="T436" s="4"/>
      <c r="U436" s="4"/>
      <c r="V436" s="4"/>
      <c r="W436" s="4"/>
      <c r="X436" s="4"/>
    </row>
    <row r="437" spans="3:24">
      <c r="C437" s="4"/>
      <c r="D437" s="13"/>
      <c r="E437" s="13"/>
      <c r="F437" s="13"/>
      <c r="G437" s="13"/>
      <c r="H437" s="13"/>
      <c r="I437" s="13"/>
      <c r="J437" s="13"/>
      <c r="K437" s="4"/>
      <c r="L437" s="4"/>
      <c r="M437" s="4"/>
      <c r="Q437" s="4"/>
      <c r="R437" s="4"/>
      <c r="S437" s="4"/>
      <c r="T437" s="4"/>
      <c r="U437" s="4"/>
      <c r="V437" s="4"/>
      <c r="W437" s="4"/>
      <c r="X437" s="4"/>
    </row>
    <row r="438" spans="3:24">
      <c r="C438" s="4"/>
      <c r="D438" s="13"/>
      <c r="E438" s="13"/>
      <c r="F438" s="13"/>
      <c r="G438" s="13"/>
      <c r="H438" s="13"/>
      <c r="I438" s="13"/>
      <c r="J438" s="13"/>
      <c r="K438" s="4"/>
      <c r="L438" s="4"/>
      <c r="M438" s="4"/>
      <c r="Q438" s="4"/>
      <c r="R438" s="4"/>
      <c r="S438" s="4"/>
      <c r="T438" s="4"/>
      <c r="U438" s="4"/>
      <c r="V438" s="4"/>
      <c r="W438" s="4"/>
      <c r="X438" s="4"/>
    </row>
    <row r="439" spans="3:24">
      <c r="C439" s="4"/>
      <c r="D439" s="13"/>
      <c r="E439" s="13"/>
      <c r="F439" s="13"/>
      <c r="G439" s="13"/>
      <c r="H439" s="13"/>
      <c r="I439" s="13"/>
      <c r="J439" s="13"/>
      <c r="K439" s="4"/>
      <c r="L439" s="4"/>
      <c r="M439" s="4"/>
      <c r="Q439" s="4"/>
      <c r="R439" s="4"/>
      <c r="S439" s="4"/>
      <c r="T439" s="4"/>
      <c r="U439" s="4"/>
      <c r="V439" s="4"/>
      <c r="W439" s="4"/>
      <c r="X439" s="4"/>
    </row>
    <row r="440" spans="3:24">
      <c r="C440" s="4"/>
      <c r="D440" s="13"/>
      <c r="E440" s="13"/>
      <c r="F440" s="13"/>
      <c r="G440" s="13"/>
      <c r="H440" s="13"/>
      <c r="I440" s="13"/>
      <c r="J440" s="13"/>
      <c r="K440" s="4"/>
      <c r="L440" s="4"/>
      <c r="M440" s="4"/>
      <c r="Q440" s="4"/>
      <c r="R440" s="4"/>
      <c r="S440" s="4"/>
      <c r="T440" s="4"/>
      <c r="U440" s="4"/>
      <c r="V440" s="4"/>
      <c r="W440" s="4"/>
      <c r="X440" s="4"/>
    </row>
    <row r="441" spans="3:24">
      <c r="C441" s="4"/>
      <c r="D441" s="13"/>
      <c r="E441" s="13"/>
      <c r="F441" s="13"/>
      <c r="G441" s="13"/>
      <c r="H441" s="13"/>
      <c r="I441" s="13"/>
      <c r="J441" s="13"/>
      <c r="K441" s="4"/>
      <c r="L441" s="4"/>
      <c r="M441" s="4"/>
      <c r="Q441" s="4"/>
      <c r="R441" s="4"/>
      <c r="S441" s="4"/>
      <c r="T441" s="4"/>
      <c r="U441" s="4"/>
      <c r="V441" s="4"/>
      <c r="W441" s="4"/>
      <c r="X441" s="4"/>
    </row>
    <row r="442" spans="3:24">
      <c r="C442" s="4"/>
      <c r="D442" s="13"/>
      <c r="E442" s="13"/>
      <c r="F442" s="13"/>
      <c r="G442" s="13"/>
      <c r="H442" s="13"/>
      <c r="I442" s="13"/>
      <c r="J442" s="13"/>
      <c r="K442" s="4"/>
      <c r="L442" s="4"/>
      <c r="M442" s="4"/>
      <c r="Q442" s="4"/>
      <c r="R442" s="4"/>
      <c r="S442" s="4"/>
      <c r="T442" s="4"/>
      <c r="U442" s="4"/>
      <c r="V442" s="4"/>
      <c r="W442" s="4"/>
      <c r="X442" s="4"/>
    </row>
    <row r="443" spans="3:24">
      <c r="C443" s="4"/>
      <c r="D443" s="13"/>
      <c r="E443" s="13"/>
      <c r="F443" s="13"/>
      <c r="G443" s="13"/>
      <c r="H443" s="13"/>
      <c r="I443" s="13"/>
      <c r="J443" s="13"/>
      <c r="K443" s="4"/>
      <c r="L443" s="4"/>
      <c r="M443" s="4"/>
      <c r="Q443" s="4"/>
      <c r="R443" s="4"/>
      <c r="S443" s="4"/>
      <c r="T443" s="4"/>
      <c r="U443" s="4"/>
      <c r="V443" s="4"/>
      <c r="W443" s="4"/>
      <c r="X443" s="4"/>
    </row>
    <row r="444" spans="3:24">
      <c r="C444" s="4"/>
      <c r="D444" s="13"/>
      <c r="E444" s="13"/>
      <c r="F444" s="13"/>
      <c r="G444" s="13"/>
      <c r="H444" s="13"/>
      <c r="I444" s="13"/>
      <c r="J444" s="13"/>
      <c r="K444" s="4"/>
      <c r="L444" s="4"/>
      <c r="M444" s="4"/>
      <c r="Q444" s="4"/>
      <c r="R444" s="4"/>
      <c r="S444" s="4"/>
      <c r="T444" s="4"/>
      <c r="U444" s="4"/>
      <c r="V444" s="4"/>
      <c r="W444" s="4"/>
      <c r="X444" s="4"/>
    </row>
    <row r="445" spans="3:24">
      <c r="C445" s="4"/>
      <c r="D445" s="13"/>
      <c r="E445" s="13"/>
      <c r="F445" s="13"/>
      <c r="G445" s="13"/>
      <c r="H445" s="13"/>
      <c r="I445" s="13"/>
      <c r="J445" s="13"/>
      <c r="K445" s="4"/>
      <c r="L445" s="4"/>
      <c r="M445" s="4"/>
      <c r="Q445" s="4"/>
      <c r="R445" s="4"/>
      <c r="S445" s="4"/>
      <c r="T445" s="4"/>
      <c r="U445" s="4"/>
      <c r="V445" s="4"/>
      <c r="W445" s="4"/>
      <c r="X445" s="4"/>
    </row>
    <row r="446" spans="3:24">
      <c r="C446" s="4"/>
      <c r="D446" s="13"/>
      <c r="E446" s="13"/>
      <c r="F446" s="13"/>
      <c r="G446" s="13"/>
      <c r="H446" s="13"/>
      <c r="I446" s="13"/>
      <c r="J446" s="13"/>
      <c r="K446" s="4"/>
      <c r="L446" s="4"/>
      <c r="M446" s="4"/>
      <c r="Q446" s="4"/>
      <c r="R446" s="4"/>
      <c r="S446" s="4"/>
      <c r="T446" s="4"/>
      <c r="U446" s="4"/>
      <c r="V446" s="4"/>
      <c r="W446" s="4"/>
      <c r="X446" s="4"/>
    </row>
    <row r="447" spans="3:24">
      <c r="C447" s="4"/>
      <c r="D447" s="13"/>
      <c r="E447" s="13"/>
      <c r="F447" s="13"/>
      <c r="G447" s="13"/>
      <c r="H447" s="13"/>
      <c r="I447" s="13"/>
      <c r="J447" s="13"/>
      <c r="K447" s="4"/>
      <c r="L447" s="4"/>
      <c r="M447" s="4"/>
      <c r="Q447" s="4"/>
      <c r="R447" s="4"/>
      <c r="S447" s="4"/>
      <c r="T447" s="4"/>
      <c r="U447" s="4"/>
      <c r="V447" s="4"/>
      <c r="W447" s="4"/>
      <c r="X447" s="4"/>
    </row>
    <row r="448" spans="3:24">
      <c r="C448" s="4"/>
      <c r="D448" s="13"/>
      <c r="E448" s="13"/>
      <c r="F448" s="13"/>
      <c r="G448" s="13"/>
      <c r="H448" s="13"/>
      <c r="I448" s="13"/>
      <c r="J448" s="13"/>
      <c r="K448" s="4"/>
      <c r="L448" s="4"/>
      <c r="M448" s="4"/>
      <c r="Q448" s="4"/>
      <c r="R448" s="4"/>
      <c r="S448" s="4"/>
      <c r="T448" s="4"/>
      <c r="U448" s="4"/>
      <c r="V448" s="4"/>
      <c r="W448" s="4"/>
      <c r="X448" s="4"/>
    </row>
    <row r="449" spans="3:24">
      <c r="C449" s="4"/>
      <c r="D449" s="13"/>
      <c r="E449" s="13"/>
      <c r="F449" s="13"/>
      <c r="G449" s="13"/>
      <c r="H449" s="13"/>
      <c r="I449" s="13"/>
      <c r="J449" s="13"/>
      <c r="K449" s="4"/>
      <c r="L449" s="4"/>
      <c r="M449" s="4"/>
      <c r="Q449" s="4"/>
      <c r="R449" s="4"/>
      <c r="S449" s="4"/>
      <c r="T449" s="4"/>
      <c r="U449" s="4"/>
      <c r="V449" s="4"/>
      <c r="W449" s="4"/>
      <c r="X449" s="4"/>
    </row>
    <row r="450" spans="3:24">
      <c r="C450" s="4"/>
      <c r="D450" s="13"/>
      <c r="E450" s="13"/>
      <c r="F450" s="13"/>
      <c r="G450" s="13"/>
      <c r="H450" s="13"/>
      <c r="I450" s="13"/>
      <c r="J450" s="13"/>
      <c r="K450" s="4"/>
      <c r="L450" s="4"/>
      <c r="M450" s="4"/>
      <c r="Q450" s="4"/>
      <c r="R450" s="4"/>
      <c r="S450" s="4"/>
      <c r="T450" s="4"/>
      <c r="U450" s="4"/>
      <c r="V450" s="4"/>
      <c r="W450" s="4"/>
      <c r="X450" s="4"/>
    </row>
    <row r="451" spans="3:24">
      <c r="C451" s="4"/>
      <c r="D451" s="13"/>
      <c r="E451" s="13"/>
      <c r="F451" s="13"/>
      <c r="G451" s="13"/>
      <c r="H451" s="13"/>
      <c r="I451" s="13"/>
      <c r="J451" s="13"/>
      <c r="K451" s="4"/>
      <c r="L451" s="4"/>
      <c r="M451" s="4"/>
      <c r="Q451" s="4"/>
      <c r="R451" s="4"/>
      <c r="S451" s="4"/>
      <c r="T451" s="4"/>
      <c r="U451" s="4"/>
      <c r="V451" s="4"/>
      <c r="W451" s="4"/>
      <c r="X451" s="4"/>
    </row>
    <row r="452" spans="3:24">
      <c r="C452" s="4"/>
      <c r="D452" s="13"/>
      <c r="E452" s="13"/>
      <c r="F452" s="13"/>
      <c r="G452" s="13"/>
      <c r="H452" s="13"/>
      <c r="I452" s="13"/>
      <c r="J452" s="13"/>
      <c r="K452" s="4"/>
      <c r="L452" s="4"/>
      <c r="M452" s="4"/>
      <c r="Q452" s="4"/>
      <c r="R452" s="4"/>
      <c r="S452" s="4"/>
      <c r="T452" s="4"/>
      <c r="U452" s="4"/>
      <c r="V452" s="4"/>
      <c r="W452" s="4"/>
      <c r="X452" s="4"/>
    </row>
    <row r="453" spans="3:24">
      <c r="C453" s="4"/>
      <c r="D453" s="13"/>
      <c r="E453" s="13"/>
      <c r="F453" s="13"/>
      <c r="G453" s="13"/>
      <c r="H453" s="13"/>
      <c r="I453" s="13"/>
      <c r="J453" s="13"/>
      <c r="K453" s="4"/>
      <c r="L453" s="4"/>
      <c r="M453" s="4"/>
      <c r="Q453" s="4"/>
      <c r="R453" s="4"/>
      <c r="S453" s="4"/>
      <c r="T453" s="4"/>
      <c r="U453" s="4"/>
      <c r="V453" s="4"/>
      <c r="W453" s="4"/>
      <c r="X453" s="4"/>
    </row>
    <row r="454" spans="3:24">
      <c r="C454" s="4"/>
      <c r="D454" s="13"/>
      <c r="E454" s="13"/>
      <c r="F454" s="13"/>
      <c r="G454" s="13"/>
      <c r="H454" s="13"/>
      <c r="I454" s="13"/>
      <c r="J454" s="13"/>
      <c r="K454" s="4"/>
      <c r="L454" s="4"/>
      <c r="M454" s="4"/>
      <c r="Q454" s="4"/>
      <c r="R454" s="4"/>
      <c r="S454" s="4"/>
      <c r="T454" s="4"/>
      <c r="U454" s="4"/>
      <c r="V454" s="4"/>
      <c r="W454" s="4"/>
      <c r="X454" s="4"/>
    </row>
    <row r="455" spans="3:24">
      <c r="C455" s="4"/>
      <c r="D455" s="13"/>
      <c r="E455" s="13"/>
      <c r="F455" s="13"/>
      <c r="G455" s="13"/>
      <c r="H455" s="13"/>
      <c r="I455" s="13"/>
      <c r="J455" s="13"/>
      <c r="K455" s="4"/>
      <c r="L455" s="4"/>
      <c r="M455" s="4"/>
      <c r="Q455" s="4"/>
      <c r="R455" s="4"/>
      <c r="S455" s="4"/>
      <c r="T455" s="4"/>
      <c r="U455" s="4"/>
      <c r="V455" s="4"/>
      <c r="W455" s="4"/>
      <c r="X455" s="4"/>
    </row>
    <row r="456" spans="3:24">
      <c r="C456" s="4"/>
      <c r="D456" s="13"/>
      <c r="E456" s="13"/>
      <c r="F456" s="13"/>
      <c r="G456" s="13"/>
      <c r="H456" s="13"/>
      <c r="I456" s="13"/>
      <c r="J456" s="13"/>
      <c r="K456" s="4"/>
      <c r="L456" s="4"/>
      <c r="M456" s="4"/>
      <c r="Q456" s="4"/>
      <c r="R456" s="4"/>
      <c r="S456" s="4"/>
      <c r="T456" s="4"/>
      <c r="U456" s="4"/>
      <c r="V456" s="4"/>
      <c r="W456" s="4"/>
      <c r="X456" s="4"/>
    </row>
    <row r="457" spans="3:24">
      <c r="C457" s="4"/>
      <c r="D457" s="13"/>
      <c r="E457" s="13"/>
      <c r="F457" s="13"/>
      <c r="G457" s="13"/>
      <c r="H457" s="13"/>
      <c r="I457" s="13"/>
      <c r="J457" s="13"/>
      <c r="K457" s="4"/>
      <c r="L457" s="4"/>
      <c r="M457" s="4"/>
      <c r="Q457" s="4"/>
      <c r="R457" s="4"/>
      <c r="S457" s="4"/>
      <c r="T457" s="4"/>
      <c r="U457" s="4"/>
      <c r="V457" s="4"/>
      <c r="W457" s="4"/>
      <c r="X457" s="4"/>
    </row>
    <row r="458" spans="3:24">
      <c r="C458" s="4"/>
      <c r="D458" s="13"/>
      <c r="E458" s="13"/>
      <c r="F458" s="13"/>
      <c r="G458" s="13"/>
      <c r="H458" s="13"/>
      <c r="I458" s="13"/>
      <c r="J458" s="13"/>
      <c r="K458" s="4"/>
      <c r="L458" s="4"/>
      <c r="M458" s="4"/>
      <c r="Q458" s="4"/>
      <c r="R458" s="4"/>
      <c r="S458" s="4"/>
      <c r="T458" s="4"/>
      <c r="U458" s="4"/>
      <c r="V458" s="4"/>
      <c r="W458" s="4"/>
      <c r="X458" s="4"/>
    </row>
    <row r="459" spans="3:24">
      <c r="C459" s="4"/>
      <c r="D459" s="13"/>
      <c r="E459" s="13"/>
      <c r="F459" s="13"/>
      <c r="G459" s="13"/>
      <c r="H459" s="13"/>
      <c r="I459" s="13"/>
      <c r="J459" s="13"/>
      <c r="K459" s="4"/>
      <c r="L459" s="4"/>
      <c r="M459" s="4"/>
      <c r="Q459" s="4"/>
      <c r="R459" s="4"/>
      <c r="S459" s="4"/>
      <c r="T459" s="4"/>
      <c r="U459" s="4"/>
      <c r="V459" s="4"/>
      <c r="W459" s="4"/>
      <c r="X459" s="4"/>
    </row>
    <row r="460" spans="3:24">
      <c r="C460" s="4"/>
      <c r="D460" s="13"/>
      <c r="E460" s="13"/>
      <c r="F460" s="13"/>
      <c r="G460" s="13"/>
      <c r="H460" s="13"/>
      <c r="I460" s="13"/>
      <c r="J460" s="13"/>
      <c r="K460" s="4"/>
      <c r="L460" s="4"/>
      <c r="M460" s="4"/>
      <c r="Q460" s="4"/>
      <c r="R460" s="4"/>
      <c r="S460" s="4"/>
      <c r="T460" s="4"/>
      <c r="U460" s="4"/>
      <c r="V460" s="4"/>
      <c r="W460" s="4"/>
      <c r="X460" s="4"/>
    </row>
    <row r="461" spans="3:24">
      <c r="C461" s="4"/>
      <c r="D461" s="13"/>
      <c r="E461" s="13"/>
      <c r="F461" s="13"/>
      <c r="G461" s="13"/>
      <c r="H461" s="13"/>
      <c r="I461" s="13"/>
      <c r="J461" s="13"/>
      <c r="K461" s="4"/>
      <c r="L461" s="4"/>
      <c r="M461" s="4"/>
      <c r="Q461" s="4"/>
      <c r="R461" s="4"/>
      <c r="S461" s="4"/>
      <c r="T461" s="4"/>
      <c r="U461" s="4"/>
      <c r="V461" s="4"/>
      <c r="W461" s="4"/>
      <c r="X461" s="4"/>
    </row>
    <row r="462" spans="3:24">
      <c r="C462" s="4"/>
      <c r="D462" s="13"/>
      <c r="E462" s="13"/>
      <c r="F462" s="13"/>
      <c r="G462" s="13"/>
      <c r="H462" s="13"/>
      <c r="I462" s="13"/>
      <c r="J462" s="13"/>
      <c r="K462" s="4"/>
      <c r="L462" s="4"/>
      <c r="M462" s="4"/>
      <c r="Q462" s="4"/>
      <c r="R462" s="4"/>
      <c r="S462" s="4"/>
      <c r="T462" s="4"/>
      <c r="U462" s="4"/>
      <c r="V462" s="4"/>
      <c r="W462" s="4"/>
      <c r="X462" s="4"/>
    </row>
    <row r="463" spans="3:24">
      <c r="C463" s="4"/>
      <c r="D463" s="13"/>
      <c r="E463" s="13"/>
      <c r="F463" s="13"/>
      <c r="G463" s="13"/>
      <c r="H463" s="13"/>
      <c r="I463" s="13"/>
      <c r="J463" s="13"/>
      <c r="K463" s="4"/>
      <c r="L463" s="4"/>
      <c r="M463" s="4"/>
      <c r="Q463" s="4"/>
      <c r="R463" s="4"/>
      <c r="S463" s="4"/>
      <c r="T463" s="4"/>
      <c r="U463" s="4"/>
      <c r="V463" s="4"/>
      <c r="W463" s="4"/>
      <c r="X463" s="4"/>
    </row>
    <row r="464" spans="3:24">
      <c r="C464" s="4"/>
      <c r="D464" s="13"/>
      <c r="E464" s="13"/>
      <c r="F464" s="13"/>
      <c r="G464" s="13"/>
      <c r="H464" s="13"/>
      <c r="I464" s="13"/>
      <c r="J464" s="13"/>
      <c r="K464" s="4"/>
      <c r="L464" s="4"/>
      <c r="M464" s="4"/>
      <c r="Q464" s="4"/>
      <c r="R464" s="4"/>
      <c r="S464" s="4"/>
      <c r="T464" s="4"/>
      <c r="U464" s="4"/>
      <c r="V464" s="4"/>
      <c r="W464" s="4"/>
      <c r="X464" s="4"/>
    </row>
    <row r="465" spans="3:24">
      <c r="C465" s="4"/>
      <c r="D465" s="13"/>
      <c r="E465" s="13"/>
      <c r="F465" s="13"/>
      <c r="G465" s="13"/>
      <c r="H465" s="13"/>
      <c r="I465" s="13"/>
      <c r="J465" s="13"/>
      <c r="K465" s="4"/>
      <c r="L465" s="4"/>
      <c r="M465" s="4"/>
      <c r="Q465" s="4"/>
      <c r="R465" s="4"/>
      <c r="S465" s="4"/>
      <c r="T465" s="4"/>
      <c r="U465" s="4"/>
      <c r="V465" s="4"/>
      <c r="W465" s="4"/>
      <c r="X465" s="4"/>
    </row>
    <row r="466" spans="3:24">
      <c r="C466" s="4"/>
      <c r="D466" s="13"/>
      <c r="E466" s="13"/>
      <c r="F466" s="13"/>
      <c r="G466" s="13"/>
      <c r="H466" s="13"/>
      <c r="I466" s="13"/>
      <c r="J466" s="13"/>
      <c r="K466" s="4"/>
      <c r="L466" s="4"/>
      <c r="M466" s="4"/>
      <c r="Q466" s="4"/>
      <c r="R466" s="4"/>
      <c r="S466" s="4"/>
      <c r="T466" s="4"/>
      <c r="U466" s="4"/>
      <c r="V466" s="4"/>
      <c r="W466" s="4"/>
      <c r="X466" s="4"/>
    </row>
    <row r="467" spans="3:24">
      <c r="C467" s="4"/>
      <c r="D467" s="13"/>
      <c r="E467" s="13"/>
      <c r="F467" s="13"/>
      <c r="G467" s="13"/>
      <c r="H467" s="13"/>
      <c r="I467" s="13"/>
      <c r="J467" s="13"/>
      <c r="K467" s="4"/>
      <c r="L467" s="4"/>
      <c r="M467" s="4"/>
      <c r="Q467" s="4"/>
      <c r="R467" s="4"/>
      <c r="S467" s="4"/>
      <c r="T467" s="4"/>
      <c r="U467" s="4"/>
      <c r="V467" s="4"/>
      <c r="W467" s="4"/>
      <c r="X467" s="4"/>
    </row>
    <row r="468" spans="3:24">
      <c r="C468" s="4"/>
      <c r="D468" s="13"/>
      <c r="E468" s="13"/>
      <c r="F468" s="13"/>
      <c r="G468" s="13"/>
      <c r="H468" s="13"/>
      <c r="I468" s="13"/>
      <c r="J468" s="13"/>
      <c r="K468" s="4"/>
      <c r="L468" s="4"/>
      <c r="M468" s="4"/>
      <c r="Q468" s="4"/>
      <c r="R468" s="4"/>
      <c r="S468" s="4"/>
      <c r="T468" s="4"/>
      <c r="U468" s="4"/>
      <c r="V468" s="4"/>
      <c r="W468" s="4"/>
      <c r="X468" s="4"/>
    </row>
    <row r="469" spans="3:24">
      <c r="C469" s="4"/>
      <c r="D469" s="13"/>
      <c r="E469" s="13"/>
      <c r="F469" s="13"/>
      <c r="G469" s="13"/>
      <c r="H469" s="13"/>
      <c r="I469" s="13"/>
      <c r="J469" s="13"/>
      <c r="K469" s="4"/>
      <c r="L469" s="4"/>
      <c r="M469" s="4"/>
      <c r="Q469" s="4"/>
      <c r="R469" s="4"/>
      <c r="S469" s="4"/>
      <c r="T469" s="4"/>
      <c r="U469" s="4"/>
      <c r="V469" s="4"/>
      <c r="W469" s="4"/>
      <c r="X469" s="4"/>
    </row>
    <row r="470" spans="3:24">
      <c r="C470" s="4"/>
      <c r="D470" s="13"/>
      <c r="E470" s="13"/>
      <c r="F470" s="13"/>
      <c r="G470" s="13"/>
      <c r="H470" s="13"/>
      <c r="I470" s="13"/>
      <c r="J470" s="13"/>
      <c r="K470" s="4"/>
      <c r="L470" s="4"/>
      <c r="M470" s="4"/>
      <c r="Q470" s="4"/>
      <c r="R470" s="4"/>
      <c r="S470" s="4"/>
      <c r="T470" s="4"/>
      <c r="U470" s="4"/>
      <c r="V470" s="4"/>
      <c r="W470" s="4"/>
      <c r="X470" s="4"/>
    </row>
    <row r="471" spans="3:24">
      <c r="C471" s="4"/>
      <c r="D471" s="13"/>
      <c r="E471" s="13"/>
      <c r="F471" s="13"/>
      <c r="G471" s="13"/>
      <c r="H471" s="13"/>
      <c r="I471" s="13"/>
      <c r="J471" s="13"/>
      <c r="K471" s="4"/>
      <c r="L471" s="4"/>
      <c r="M471" s="4"/>
      <c r="Q471" s="4"/>
      <c r="R471" s="4"/>
      <c r="S471" s="4"/>
      <c r="T471" s="4"/>
      <c r="U471" s="4"/>
      <c r="V471" s="4"/>
      <c r="W471" s="4"/>
      <c r="X471" s="4"/>
    </row>
    <row r="472" spans="3:24">
      <c r="C472" s="4"/>
      <c r="D472" s="13"/>
      <c r="E472" s="13"/>
      <c r="F472" s="13"/>
      <c r="G472" s="13"/>
      <c r="H472" s="13"/>
      <c r="I472" s="13"/>
      <c r="J472" s="13"/>
      <c r="K472" s="4"/>
      <c r="L472" s="4"/>
      <c r="M472" s="4"/>
      <c r="Q472" s="4"/>
      <c r="R472" s="4"/>
      <c r="S472" s="4"/>
      <c r="T472" s="4"/>
      <c r="U472" s="4"/>
      <c r="V472" s="4"/>
      <c r="W472" s="4"/>
      <c r="X472" s="4"/>
    </row>
    <row r="473" spans="3:24">
      <c r="C473" s="4"/>
      <c r="D473" s="13"/>
      <c r="E473" s="13"/>
      <c r="F473" s="13"/>
      <c r="G473" s="13"/>
      <c r="H473" s="13"/>
      <c r="I473" s="13"/>
      <c r="J473" s="13"/>
      <c r="K473" s="4"/>
      <c r="L473" s="4"/>
      <c r="M473" s="4"/>
      <c r="Q473" s="4"/>
      <c r="R473" s="4"/>
      <c r="S473" s="4"/>
      <c r="T473" s="4"/>
      <c r="U473" s="4"/>
      <c r="V473" s="4"/>
      <c r="W473" s="4"/>
      <c r="X473" s="4"/>
    </row>
    <row r="474" spans="3:24">
      <c r="C474" s="4"/>
      <c r="D474" s="13"/>
      <c r="E474" s="13"/>
      <c r="F474" s="13"/>
      <c r="G474" s="13"/>
      <c r="H474" s="13"/>
      <c r="I474" s="13"/>
      <c r="J474" s="13"/>
      <c r="K474" s="4"/>
      <c r="L474" s="4"/>
      <c r="M474" s="4"/>
      <c r="Q474" s="4"/>
      <c r="R474" s="4"/>
      <c r="S474" s="4"/>
      <c r="T474" s="4"/>
      <c r="U474" s="4"/>
      <c r="V474" s="4"/>
      <c r="W474" s="4"/>
      <c r="X474" s="4"/>
    </row>
    <row r="475" spans="3:24">
      <c r="C475" s="4"/>
      <c r="D475" s="13"/>
      <c r="E475" s="13"/>
      <c r="F475" s="13"/>
      <c r="G475" s="13"/>
      <c r="H475" s="13"/>
      <c r="I475" s="13"/>
      <c r="J475" s="13"/>
      <c r="K475" s="4"/>
      <c r="L475" s="4"/>
      <c r="M475" s="4"/>
      <c r="Q475" s="4"/>
      <c r="R475" s="4"/>
      <c r="S475" s="4"/>
      <c r="T475" s="4"/>
      <c r="U475" s="4"/>
      <c r="V475" s="4"/>
      <c r="W475" s="4"/>
      <c r="X475" s="4"/>
    </row>
    <row r="476" spans="3:24">
      <c r="C476" s="4"/>
      <c r="D476" s="13"/>
      <c r="E476" s="13"/>
      <c r="F476" s="13"/>
      <c r="G476" s="13"/>
      <c r="H476" s="13"/>
      <c r="I476" s="13"/>
      <c r="J476" s="13"/>
      <c r="K476" s="4"/>
      <c r="L476" s="4"/>
      <c r="M476" s="4"/>
      <c r="Q476" s="4"/>
      <c r="R476" s="4"/>
      <c r="S476" s="4"/>
      <c r="T476" s="4"/>
      <c r="U476" s="4"/>
      <c r="V476" s="4"/>
      <c r="W476" s="4"/>
      <c r="X476" s="4"/>
    </row>
    <row r="477" spans="3:24">
      <c r="C477" s="4"/>
      <c r="D477" s="13"/>
      <c r="E477" s="13"/>
      <c r="F477" s="13"/>
      <c r="G477" s="13"/>
      <c r="H477" s="13"/>
      <c r="I477" s="13"/>
      <c r="J477" s="13"/>
      <c r="K477" s="4"/>
      <c r="L477" s="4"/>
      <c r="M477" s="4"/>
      <c r="Q477" s="4"/>
      <c r="R477" s="4"/>
      <c r="S477" s="4"/>
      <c r="T477" s="4"/>
      <c r="U477" s="4"/>
      <c r="V477" s="4"/>
      <c r="W477" s="4"/>
      <c r="X477" s="4"/>
    </row>
    <row r="478" spans="3:24">
      <c r="C478" s="4"/>
      <c r="D478" s="13"/>
      <c r="E478" s="13"/>
      <c r="F478" s="13"/>
      <c r="G478" s="13"/>
      <c r="H478" s="13"/>
      <c r="I478" s="13"/>
      <c r="J478" s="13"/>
      <c r="K478" s="4"/>
      <c r="L478" s="4"/>
      <c r="M478" s="4"/>
      <c r="Q478" s="4"/>
      <c r="R478" s="4"/>
      <c r="S478" s="4"/>
      <c r="T478" s="4"/>
      <c r="U478" s="4"/>
      <c r="V478" s="4"/>
      <c r="W478" s="4"/>
      <c r="X478" s="4"/>
    </row>
    <row r="479" spans="3:24">
      <c r="C479" s="4"/>
      <c r="D479" s="13"/>
      <c r="E479" s="13"/>
      <c r="F479" s="13"/>
      <c r="G479" s="13"/>
      <c r="H479" s="13"/>
      <c r="I479" s="13"/>
      <c r="J479" s="13"/>
      <c r="K479" s="4"/>
      <c r="L479" s="4"/>
      <c r="M479" s="4"/>
      <c r="Q479" s="4"/>
      <c r="R479" s="4"/>
      <c r="S479" s="4"/>
      <c r="T479" s="4"/>
      <c r="U479" s="4"/>
      <c r="V479" s="4"/>
      <c r="W479" s="4"/>
      <c r="X479" s="4"/>
    </row>
    <row r="480" spans="3:24">
      <c r="C480" s="4"/>
      <c r="D480" s="13"/>
      <c r="E480" s="13"/>
      <c r="F480" s="13"/>
      <c r="G480" s="13"/>
      <c r="H480" s="13"/>
      <c r="I480" s="13"/>
      <c r="J480" s="13"/>
      <c r="K480" s="4"/>
      <c r="L480" s="4"/>
      <c r="M480" s="4"/>
      <c r="Q480" s="4"/>
      <c r="R480" s="4"/>
      <c r="S480" s="4"/>
      <c r="T480" s="4"/>
      <c r="U480" s="4"/>
      <c r="V480" s="4"/>
      <c r="W480" s="4"/>
      <c r="X480" s="4"/>
    </row>
    <row r="481" spans="3:24">
      <c r="C481" s="4"/>
      <c r="D481" s="13"/>
      <c r="E481" s="13"/>
      <c r="F481" s="13"/>
      <c r="G481" s="13"/>
      <c r="H481" s="13"/>
      <c r="I481" s="13"/>
      <c r="J481" s="13"/>
      <c r="K481" s="4"/>
      <c r="L481" s="4"/>
      <c r="M481" s="4"/>
      <c r="Q481" s="4"/>
      <c r="R481" s="4"/>
      <c r="S481" s="4"/>
      <c r="T481" s="4"/>
      <c r="U481" s="4"/>
      <c r="V481" s="4"/>
      <c r="W481" s="4"/>
      <c r="X481" s="4"/>
    </row>
    <row r="482" spans="3:24">
      <c r="C482" s="4"/>
      <c r="D482" s="13"/>
      <c r="E482" s="13"/>
      <c r="F482" s="13"/>
      <c r="G482" s="13"/>
      <c r="H482" s="13"/>
      <c r="I482" s="13"/>
      <c r="J482" s="13"/>
      <c r="K482" s="4"/>
      <c r="L482" s="4"/>
      <c r="M482" s="4"/>
      <c r="Q482" s="4"/>
      <c r="R482" s="4"/>
      <c r="S482" s="4"/>
      <c r="T482" s="4"/>
      <c r="U482" s="4"/>
      <c r="V482" s="4"/>
      <c r="W482" s="4"/>
      <c r="X482" s="4"/>
    </row>
    <row r="483" spans="3:24">
      <c r="C483" s="4"/>
      <c r="D483" s="13"/>
      <c r="E483" s="13"/>
      <c r="F483" s="13"/>
      <c r="G483" s="13"/>
      <c r="H483" s="13"/>
      <c r="I483" s="13"/>
      <c r="J483" s="13"/>
      <c r="K483" s="4"/>
      <c r="L483" s="4"/>
      <c r="M483" s="4"/>
      <c r="Q483" s="4"/>
      <c r="R483" s="4"/>
      <c r="S483" s="4"/>
      <c r="T483" s="4"/>
      <c r="U483" s="4"/>
      <c r="V483" s="4"/>
      <c r="W483" s="4"/>
      <c r="X483" s="4"/>
    </row>
    <row r="484" spans="3:24">
      <c r="C484" s="4"/>
      <c r="D484" s="13"/>
      <c r="E484" s="13"/>
      <c r="F484" s="13"/>
      <c r="G484" s="13"/>
      <c r="H484" s="13"/>
      <c r="I484" s="13"/>
      <c r="J484" s="13"/>
      <c r="K484" s="4"/>
      <c r="L484" s="4"/>
      <c r="M484" s="4"/>
      <c r="Q484" s="4"/>
      <c r="R484" s="4"/>
      <c r="S484" s="4"/>
      <c r="T484" s="4"/>
      <c r="U484" s="4"/>
      <c r="V484" s="4"/>
      <c r="W484" s="4"/>
      <c r="X484" s="4"/>
    </row>
    <row r="485" spans="3:24">
      <c r="C485" s="4"/>
      <c r="D485" s="13"/>
      <c r="E485" s="13"/>
      <c r="F485" s="13"/>
      <c r="G485" s="13"/>
      <c r="H485" s="13"/>
      <c r="I485" s="13"/>
      <c r="J485" s="13"/>
      <c r="K485" s="4"/>
      <c r="L485" s="4"/>
      <c r="M485" s="4"/>
      <c r="Q485" s="4"/>
      <c r="R485" s="4"/>
      <c r="S485" s="4"/>
      <c r="T485" s="4"/>
      <c r="U485" s="4"/>
      <c r="V485" s="4"/>
      <c r="W485" s="4"/>
      <c r="X485" s="4"/>
    </row>
    <row r="486" spans="3:24">
      <c r="C486" s="4"/>
      <c r="D486" s="13"/>
      <c r="E486" s="13"/>
      <c r="F486" s="13"/>
      <c r="G486" s="13"/>
      <c r="H486" s="13"/>
      <c r="I486" s="13"/>
      <c r="J486" s="13"/>
      <c r="K486" s="4"/>
      <c r="L486" s="4"/>
      <c r="M486" s="4"/>
      <c r="Q486" s="4"/>
      <c r="R486" s="4"/>
      <c r="S486" s="4"/>
      <c r="T486" s="4"/>
      <c r="U486" s="4"/>
      <c r="V486" s="4"/>
      <c r="W486" s="4"/>
      <c r="X486" s="4"/>
    </row>
    <row r="487" spans="3:24">
      <c r="C487" s="4"/>
      <c r="D487" s="13"/>
      <c r="E487" s="13"/>
      <c r="F487" s="13"/>
      <c r="G487" s="13"/>
      <c r="H487" s="13"/>
      <c r="I487" s="13"/>
      <c r="J487" s="13"/>
      <c r="K487" s="4"/>
      <c r="L487" s="4"/>
      <c r="M487" s="4"/>
      <c r="Q487" s="4"/>
      <c r="R487" s="4"/>
      <c r="S487" s="4"/>
      <c r="T487" s="4"/>
      <c r="U487" s="4"/>
      <c r="V487" s="4"/>
      <c r="W487" s="4"/>
      <c r="X487" s="4"/>
    </row>
    <row r="488" spans="3:24">
      <c r="C488" s="4"/>
      <c r="D488" s="13"/>
      <c r="E488" s="13"/>
      <c r="F488" s="13"/>
      <c r="G488" s="13"/>
      <c r="H488" s="13"/>
      <c r="I488" s="13"/>
      <c r="J488" s="13"/>
      <c r="K488" s="4"/>
      <c r="L488" s="4"/>
      <c r="M488" s="4"/>
      <c r="Q488" s="4"/>
      <c r="R488" s="4"/>
      <c r="S488" s="4"/>
      <c r="T488" s="4"/>
      <c r="U488" s="4"/>
      <c r="V488" s="4"/>
      <c r="W488" s="4"/>
      <c r="X488" s="4"/>
    </row>
    <row r="489" spans="3:24">
      <c r="C489" s="4"/>
      <c r="D489" s="13"/>
      <c r="E489" s="13"/>
      <c r="F489" s="13"/>
      <c r="G489" s="13"/>
      <c r="H489" s="13"/>
      <c r="I489" s="13"/>
      <c r="J489" s="13"/>
      <c r="K489" s="4"/>
      <c r="L489" s="4"/>
      <c r="M489" s="4"/>
      <c r="Q489" s="4"/>
      <c r="R489" s="4"/>
      <c r="S489" s="4"/>
      <c r="T489" s="4"/>
      <c r="U489" s="4"/>
      <c r="V489" s="4"/>
      <c r="W489" s="4"/>
      <c r="X489" s="4"/>
    </row>
    <row r="490" spans="3:24">
      <c r="C490" s="4"/>
      <c r="D490" s="13"/>
      <c r="E490" s="13"/>
      <c r="F490" s="13"/>
      <c r="G490" s="13"/>
      <c r="H490" s="13"/>
      <c r="I490" s="13"/>
      <c r="J490" s="13"/>
      <c r="K490" s="4"/>
      <c r="L490" s="4"/>
      <c r="M490" s="4"/>
      <c r="Q490" s="4"/>
      <c r="R490" s="4"/>
      <c r="S490" s="4"/>
      <c r="T490" s="4"/>
      <c r="U490" s="4"/>
      <c r="V490" s="4"/>
      <c r="W490" s="4"/>
      <c r="X490" s="4"/>
    </row>
    <row r="491" spans="3:24">
      <c r="C491" s="4"/>
      <c r="D491" s="13"/>
      <c r="E491" s="13"/>
      <c r="F491" s="13"/>
      <c r="G491" s="13"/>
      <c r="H491" s="13"/>
      <c r="I491" s="13"/>
      <c r="J491" s="13"/>
      <c r="K491" s="4"/>
      <c r="L491" s="4"/>
      <c r="M491" s="4"/>
      <c r="Q491" s="4"/>
      <c r="R491" s="4"/>
      <c r="S491" s="4"/>
      <c r="T491" s="4"/>
      <c r="U491" s="4"/>
      <c r="V491" s="4"/>
      <c r="W491" s="4"/>
      <c r="X491" s="4"/>
    </row>
    <row r="492" spans="3:24">
      <c r="C492" s="4"/>
      <c r="D492" s="13"/>
      <c r="E492" s="13"/>
      <c r="F492" s="13"/>
      <c r="G492" s="13"/>
      <c r="H492" s="13"/>
      <c r="I492" s="13"/>
      <c r="J492" s="13"/>
      <c r="K492" s="4"/>
      <c r="L492" s="4"/>
      <c r="M492" s="4"/>
      <c r="Q492" s="4"/>
      <c r="R492" s="4"/>
      <c r="S492" s="4"/>
      <c r="T492" s="4"/>
      <c r="U492" s="4"/>
      <c r="V492" s="4"/>
      <c r="W492" s="4"/>
      <c r="X492" s="4"/>
    </row>
    <row r="493" spans="3:24">
      <c r="C493" s="4"/>
      <c r="D493" s="13"/>
      <c r="E493" s="13"/>
      <c r="F493" s="13"/>
      <c r="G493" s="13"/>
      <c r="H493" s="13"/>
      <c r="I493" s="13"/>
      <c r="J493" s="13"/>
      <c r="K493" s="4"/>
      <c r="L493" s="4"/>
      <c r="M493" s="4"/>
      <c r="Q493" s="4"/>
      <c r="R493" s="4"/>
      <c r="S493" s="4"/>
      <c r="T493" s="4"/>
      <c r="U493" s="4"/>
      <c r="V493" s="4"/>
      <c r="W493" s="4"/>
      <c r="X493" s="4"/>
    </row>
    <row r="494" spans="3:24">
      <c r="C494" s="4"/>
      <c r="D494" s="13"/>
      <c r="E494" s="13"/>
      <c r="F494" s="13"/>
      <c r="G494" s="13"/>
      <c r="H494" s="13"/>
      <c r="I494" s="13"/>
      <c r="J494" s="13"/>
      <c r="K494" s="4"/>
      <c r="L494" s="4"/>
      <c r="M494" s="4"/>
      <c r="Q494" s="4"/>
      <c r="R494" s="4"/>
      <c r="S494" s="4"/>
      <c r="T494" s="4"/>
      <c r="U494" s="4"/>
      <c r="V494" s="4"/>
      <c r="W494" s="4"/>
      <c r="X494" s="4"/>
    </row>
    <row r="495" spans="3:24">
      <c r="C495" s="4"/>
      <c r="D495" s="13"/>
      <c r="E495" s="13"/>
      <c r="F495" s="13"/>
      <c r="G495" s="13"/>
      <c r="H495" s="13"/>
      <c r="I495" s="13"/>
      <c r="J495" s="13"/>
      <c r="K495" s="4"/>
      <c r="L495" s="4"/>
      <c r="M495" s="4"/>
      <c r="Q495" s="4"/>
      <c r="R495" s="4"/>
      <c r="S495" s="4"/>
      <c r="T495" s="4"/>
      <c r="U495" s="4"/>
      <c r="V495" s="4"/>
      <c r="W495" s="4"/>
      <c r="X495" s="4"/>
    </row>
    <row r="496" spans="3:24">
      <c r="C496" s="4"/>
      <c r="D496" s="13"/>
      <c r="E496" s="13"/>
      <c r="F496" s="13"/>
      <c r="G496" s="13"/>
      <c r="H496" s="13"/>
      <c r="I496" s="13"/>
      <c r="J496" s="13"/>
      <c r="K496" s="4"/>
      <c r="L496" s="4"/>
      <c r="M496" s="4"/>
      <c r="Q496" s="4"/>
      <c r="R496" s="4"/>
      <c r="S496" s="4"/>
      <c r="T496" s="4"/>
      <c r="U496" s="4"/>
      <c r="V496" s="4"/>
      <c r="W496" s="4"/>
      <c r="X496" s="4"/>
    </row>
    <row r="497" spans="3:24">
      <c r="C497" s="4"/>
      <c r="D497" s="13"/>
      <c r="E497" s="13"/>
      <c r="F497" s="13"/>
      <c r="G497" s="13"/>
      <c r="H497" s="13"/>
      <c r="I497" s="13"/>
      <c r="J497" s="13"/>
      <c r="K497" s="4"/>
      <c r="L497" s="4"/>
      <c r="M497" s="4"/>
      <c r="Q497" s="4"/>
      <c r="R497" s="4"/>
      <c r="S497" s="4"/>
      <c r="T497" s="4"/>
      <c r="U497" s="4"/>
      <c r="V497" s="4"/>
      <c r="W497" s="4"/>
      <c r="X497" s="4"/>
    </row>
    <row r="498" spans="3:24">
      <c r="C498" s="4"/>
      <c r="D498" s="13"/>
      <c r="E498" s="13"/>
      <c r="F498" s="13"/>
      <c r="G498" s="13"/>
      <c r="H498" s="13"/>
      <c r="I498" s="13"/>
      <c r="J498" s="13"/>
      <c r="K498" s="4"/>
      <c r="L498" s="4"/>
      <c r="M498" s="4"/>
      <c r="Q498" s="4"/>
      <c r="R498" s="4"/>
      <c r="S498" s="4"/>
      <c r="T498" s="4"/>
      <c r="U498" s="4"/>
      <c r="V498" s="4"/>
      <c r="W498" s="4"/>
      <c r="X498" s="4"/>
    </row>
    <row r="499" spans="3:24">
      <c r="C499" s="4"/>
      <c r="D499" s="13"/>
      <c r="E499" s="13"/>
      <c r="F499" s="13"/>
      <c r="G499" s="13"/>
      <c r="H499" s="13"/>
      <c r="I499" s="13"/>
      <c r="J499" s="13"/>
      <c r="K499" s="4"/>
      <c r="L499" s="4"/>
      <c r="M499" s="4"/>
      <c r="Q499" s="4"/>
      <c r="R499" s="4"/>
      <c r="S499" s="4"/>
      <c r="T499" s="4"/>
      <c r="U499" s="4"/>
      <c r="V499" s="4"/>
      <c r="W499" s="4"/>
      <c r="X499" s="4"/>
    </row>
    <row r="500" spans="3:24">
      <c r="C500" s="4"/>
      <c r="D500" s="13"/>
      <c r="E500" s="13"/>
      <c r="F500" s="13"/>
      <c r="G500" s="13"/>
      <c r="H500" s="13"/>
      <c r="I500" s="13"/>
      <c r="J500" s="13"/>
      <c r="K500" s="4"/>
      <c r="L500" s="4"/>
      <c r="M500" s="4"/>
      <c r="Q500" s="4"/>
      <c r="R500" s="4"/>
      <c r="S500" s="4"/>
      <c r="T500" s="4"/>
      <c r="U500" s="4"/>
      <c r="V500" s="4"/>
      <c r="W500" s="4"/>
      <c r="X500" s="4"/>
    </row>
    <row r="501" spans="3:24">
      <c r="C501" s="4"/>
      <c r="D501" s="13"/>
      <c r="E501" s="13"/>
      <c r="F501" s="13"/>
      <c r="G501" s="13"/>
      <c r="H501" s="13"/>
      <c r="I501" s="13"/>
      <c r="J501" s="13"/>
      <c r="K501" s="4"/>
      <c r="L501" s="4"/>
      <c r="M501" s="4"/>
      <c r="Q501" s="4"/>
      <c r="R501" s="4"/>
      <c r="S501" s="4"/>
      <c r="T501" s="4"/>
      <c r="U501" s="4"/>
      <c r="V501" s="4"/>
      <c r="W501" s="4"/>
      <c r="X501" s="4"/>
    </row>
    <row r="502" spans="3:24">
      <c r="C502" s="4"/>
      <c r="D502" s="13"/>
      <c r="E502" s="13"/>
      <c r="F502" s="13"/>
      <c r="G502" s="13"/>
      <c r="H502" s="13"/>
      <c r="I502" s="13"/>
      <c r="J502" s="13"/>
      <c r="K502" s="4"/>
      <c r="L502" s="4"/>
      <c r="M502" s="4"/>
      <c r="Q502" s="4"/>
      <c r="R502" s="4"/>
      <c r="S502" s="4"/>
      <c r="T502" s="4"/>
      <c r="U502" s="4"/>
      <c r="V502" s="4"/>
      <c r="W502" s="4"/>
      <c r="X502" s="4"/>
    </row>
    <row r="503" spans="3:24">
      <c r="C503" s="4"/>
      <c r="D503" s="13"/>
      <c r="E503" s="13"/>
      <c r="F503" s="13"/>
      <c r="G503" s="13"/>
      <c r="H503" s="13"/>
      <c r="I503" s="13"/>
      <c r="J503" s="13"/>
      <c r="K503" s="4"/>
      <c r="L503" s="4"/>
      <c r="M503" s="4"/>
      <c r="Q503" s="4"/>
      <c r="R503" s="4"/>
      <c r="S503" s="4"/>
      <c r="T503" s="4"/>
      <c r="U503" s="4"/>
      <c r="V503" s="4"/>
      <c r="W503" s="4"/>
      <c r="X503" s="4"/>
    </row>
    <row r="504" spans="3:24">
      <c r="C504" s="4"/>
      <c r="D504" s="13"/>
      <c r="E504" s="13"/>
      <c r="F504" s="13"/>
      <c r="G504" s="13"/>
      <c r="H504" s="13"/>
      <c r="I504" s="13"/>
      <c r="J504" s="13"/>
      <c r="K504" s="4"/>
      <c r="L504" s="4"/>
      <c r="M504" s="4"/>
      <c r="Q504" s="4"/>
      <c r="R504" s="4"/>
      <c r="S504" s="4"/>
      <c r="T504" s="4"/>
      <c r="U504" s="4"/>
      <c r="V504" s="4"/>
      <c r="W504" s="4"/>
      <c r="X504" s="4"/>
    </row>
    <row r="505" spans="3:24">
      <c r="C505" s="4"/>
      <c r="D505" s="13"/>
      <c r="E505" s="13"/>
      <c r="F505" s="13"/>
      <c r="G505" s="13"/>
      <c r="H505" s="13"/>
      <c r="I505" s="13"/>
      <c r="J505" s="13"/>
      <c r="K505" s="4"/>
      <c r="L505" s="4"/>
      <c r="M505" s="4"/>
      <c r="Q505" s="4"/>
      <c r="R505" s="4"/>
      <c r="S505" s="4"/>
      <c r="T505" s="4"/>
      <c r="U505" s="4"/>
      <c r="V505" s="4"/>
      <c r="W505" s="4"/>
      <c r="X505" s="4"/>
    </row>
    <row r="506" spans="3:24">
      <c r="C506" s="4"/>
      <c r="D506" s="13"/>
      <c r="E506" s="13"/>
      <c r="F506" s="13"/>
      <c r="G506" s="13"/>
      <c r="H506" s="13"/>
      <c r="I506" s="13"/>
      <c r="J506" s="13"/>
      <c r="K506" s="4"/>
      <c r="L506" s="4"/>
      <c r="M506" s="4"/>
      <c r="Q506" s="4"/>
      <c r="R506" s="4"/>
      <c r="S506" s="4"/>
      <c r="T506" s="4"/>
      <c r="U506" s="4"/>
      <c r="V506" s="4"/>
      <c r="W506" s="4"/>
      <c r="X506" s="4"/>
    </row>
    <row r="507" spans="3:24">
      <c r="C507" s="4"/>
      <c r="D507" s="13"/>
      <c r="E507" s="13"/>
      <c r="F507" s="13"/>
      <c r="G507" s="13"/>
      <c r="H507" s="13"/>
      <c r="I507" s="13"/>
      <c r="J507" s="13"/>
      <c r="K507" s="4"/>
      <c r="L507" s="4"/>
      <c r="M507" s="4"/>
      <c r="Q507" s="4"/>
      <c r="R507" s="4"/>
      <c r="S507" s="4"/>
      <c r="T507" s="4"/>
      <c r="U507" s="4"/>
      <c r="V507" s="4"/>
      <c r="W507" s="4"/>
      <c r="X507" s="4"/>
    </row>
    <row r="508" spans="3:24">
      <c r="C508" s="4"/>
      <c r="D508" s="13"/>
      <c r="E508" s="13"/>
      <c r="F508" s="13"/>
      <c r="G508" s="13"/>
      <c r="H508" s="13"/>
      <c r="I508" s="13"/>
      <c r="J508" s="13"/>
      <c r="K508" s="4"/>
      <c r="L508" s="4"/>
      <c r="M508" s="4"/>
      <c r="Q508" s="4"/>
      <c r="R508" s="4"/>
      <c r="S508" s="4"/>
      <c r="T508" s="4"/>
      <c r="U508" s="4"/>
      <c r="V508" s="4"/>
      <c r="W508" s="4"/>
      <c r="X508" s="4"/>
    </row>
    <row r="509" spans="3:24">
      <c r="C509" s="4"/>
      <c r="D509" s="13"/>
      <c r="E509" s="13"/>
      <c r="F509" s="13"/>
      <c r="G509" s="13"/>
      <c r="H509" s="13"/>
      <c r="I509" s="13"/>
      <c r="J509" s="13"/>
      <c r="K509" s="4"/>
      <c r="L509" s="4"/>
      <c r="M509" s="4"/>
      <c r="Q509" s="4"/>
      <c r="R509" s="4"/>
      <c r="S509" s="4"/>
      <c r="T509" s="4"/>
      <c r="U509" s="4"/>
      <c r="V509" s="4"/>
      <c r="W509" s="4"/>
      <c r="X509" s="4"/>
    </row>
    <row r="510" spans="3:24">
      <c r="C510" s="4"/>
      <c r="D510" s="13"/>
      <c r="E510" s="13"/>
      <c r="F510" s="13"/>
      <c r="G510" s="13"/>
      <c r="H510" s="13"/>
      <c r="I510" s="13"/>
      <c r="J510" s="13"/>
      <c r="K510" s="4"/>
      <c r="L510" s="4"/>
      <c r="M510" s="4"/>
      <c r="Q510" s="4"/>
      <c r="R510" s="4"/>
      <c r="S510" s="4"/>
      <c r="T510" s="4"/>
      <c r="U510" s="4"/>
      <c r="V510" s="4"/>
      <c r="W510" s="4"/>
      <c r="X510" s="4"/>
    </row>
    <row r="511" spans="3:24">
      <c r="C511" s="4"/>
      <c r="D511" s="13"/>
      <c r="E511" s="13"/>
      <c r="F511" s="13"/>
      <c r="G511" s="13"/>
      <c r="H511" s="13"/>
      <c r="I511" s="13"/>
      <c r="J511" s="13"/>
      <c r="K511" s="4"/>
      <c r="L511" s="4"/>
      <c r="M511" s="4"/>
      <c r="Q511" s="4"/>
      <c r="R511" s="4"/>
      <c r="S511" s="4"/>
      <c r="T511" s="4"/>
      <c r="U511" s="4"/>
      <c r="V511" s="4"/>
      <c r="W511" s="4"/>
      <c r="X511" s="4"/>
    </row>
    <row r="512" spans="3:24">
      <c r="C512" s="4"/>
      <c r="D512" s="13"/>
      <c r="E512" s="13"/>
      <c r="F512" s="13"/>
      <c r="G512" s="13"/>
      <c r="H512" s="13"/>
      <c r="I512" s="13"/>
      <c r="J512" s="13"/>
      <c r="K512" s="4"/>
      <c r="L512" s="4"/>
      <c r="M512" s="4"/>
      <c r="Q512" s="4"/>
      <c r="R512" s="4"/>
      <c r="S512" s="4"/>
      <c r="T512" s="4"/>
      <c r="U512" s="4"/>
      <c r="V512" s="4"/>
      <c r="W512" s="4"/>
      <c r="X512" s="4"/>
    </row>
    <row r="513" spans="3:24">
      <c r="C513" s="4"/>
      <c r="D513" s="13"/>
      <c r="E513" s="13"/>
      <c r="F513" s="13"/>
      <c r="G513" s="13"/>
      <c r="H513" s="13"/>
      <c r="I513" s="13"/>
      <c r="J513" s="13"/>
      <c r="K513" s="4"/>
      <c r="L513" s="4"/>
      <c r="M513" s="4"/>
      <c r="Q513" s="4"/>
      <c r="R513" s="4"/>
      <c r="S513" s="4"/>
      <c r="T513" s="4"/>
      <c r="U513" s="4"/>
      <c r="V513" s="4"/>
      <c r="W513" s="4"/>
      <c r="X513" s="4"/>
    </row>
    <row r="514" spans="3:24">
      <c r="C514" s="4"/>
      <c r="D514" s="13"/>
      <c r="E514" s="13"/>
      <c r="F514" s="13"/>
      <c r="G514" s="13"/>
      <c r="H514" s="13"/>
      <c r="I514" s="13"/>
      <c r="J514" s="13"/>
      <c r="K514" s="4"/>
      <c r="L514" s="4"/>
      <c r="M514" s="4"/>
      <c r="Q514" s="4"/>
      <c r="R514" s="4"/>
      <c r="S514" s="4"/>
      <c r="T514" s="4"/>
      <c r="U514" s="4"/>
      <c r="V514" s="4"/>
      <c r="W514" s="4"/>
      <c r="X514" s="4"/>
    </row>
    <row r="515" spans="3:24">
      <c r="C515" s="4"/>
      <c r="D515" s="13"/>
      <c r="E515" s="13"/>
      <c r="F515" s="13"/>
      <c r="G515" s="13"/>
      <c r="H515" s="13"/>
      <c r="I515" s="13"/>
      <c r="J515" s="13"/>
      <c r="K515" s="4"/>
      <c r="L515" s="4"/>
      <c r="M515" s="4"/>
      <c r="Q515" s="4"/>
      <c r="R515" s="4"/>
      <c r="S515" s="4"/>
      <c r="T515" s="4"/>
      <c r="U515" s="4"/>
      <c r="V515" s="4"/>
      <c r="W515" s="4"/>
      <c r="X515" s="4"/>
    </row>
    <row r="516" spans="3:24">
      <c r="C516" s="4"/>
      <c r="D516" s="13"/>
      <c r="E516" s="13"/>
      <c r="F516" s="13"/>
      <c r="G516" s="13"/>
      <c r="H516" s="13"/>
      <c r="I516" s="13"/>
      <c r="J516" s="13"/>
      <c r="K516" s="4"/>
      <c r="L516" s="4"/>
      <c r="M516" s="4"/>
      <c r="Q516" s="4"/>
      <c r="R516" s="4"/>
      <c r="S516" s="4"/>
      <c r="T516" s="4"/>
      <c r="U516" s="4"/>
      <c r="V516" s="4"/>
      <c r="W516" s="4"/>
      <c r="X516" s="4"/>
    </row>
    <row r="517" spans="3:24">
      <c r="C517" s="4"/>
      <c r="D517" s="13"/>
      <c r="E517" s="13"/>
      <c r="F517" s="13"/>
      <c r="G517" s="13"/>
      <c r="H517" s="13"/>
      <c r="I517" s="13"/>
      <c r="J517" s="13"/>
      <c r="K517" s="4"/>
      <c r="L517" s="4"/>
      <c r="M517" s="4"/>
      <c r="Q517" s="4"/>
      <c r="R517" s="4"/>
      <c r="S517" s="4"/>
      <c r="T517" s="4"/>
      <c r="U517" s="4"/>
      <c r="V517" s="4"/>
      <c r="W517" s="4"/>
      <c r="X517" s="4"/>
    </row>
    <row r="518" spans="3:24">
      <c r="C518" s="4"/>
      <c r="D518" s="13"/>
      <c r="E518" s="13"/>
      <c r="F518" s="13"/>
      <c r="G518" s="13"/>
      <c r="H518" s="13"/>
      <c r="I518" s="13"/>
      <c r="J518" s="13"/>
      <c r="K518" s="4"/>
      <c r="L518" s="4"/>
      <c r="M518" s="4"/>
      <c r="Q518" s="4"/>
      <c r="R518" s="4"/>
      <c r="S518" s="4"/>
      <c r="T518" s="4"/>
      <c r="U518" s="4"/>
      <c r="V518" s="4"/>
      <c r="W518" s="4"/>
      <c r="X518" s="4"/>
    </row>
    <row r="519" spans="3:24">
      <c r="C519" s="4"/>
      <c r="D519" s="13"/>
      <c r="E519" s="13"/>
      <c r="F519" s="13"/>
      <c r="G519" s="13"/>
      <c r="H519" s="13"/>
      <c r="I519" s="13"/>
      <c r="J519" s="13"/>
      <c r="K519" s="4"/>
      <c r="L519" s="4"/>
      <c r="M519" s="4"/>
      <c r="Q519" s="4"/>
      <c r="R519" s="4"/>
      <c r="S519" s="4"/>
      <c r="T519" s="4"/>
      <c r="U519" s="4"/>
      <c r="V519" s="4"/>
      <c r="W519" s="4"/>
      <c r="X519" s="4"/>
    </row>
    <row r="520" spans="3:24">
      <c r="C520" s="4"/>
      <c r="D520" s="13"/>
      <c r="E520" s="13"/>
      <c r="F520" s="13"/>
      <c r="G520" s="13"/>
      <c r="H520" s="13"/>
      <c r="I520" s="13"/>
      <c r="J520" s="13"/>
      <c r="K520" s="4"/>
      <c r="L520" s="4"/>
      <c r="M520" s="4"/>
      <c r="Q520" s="4"/>
      <c r="R520" s="4"/>
      <c r="S520" s="4"/>
      <c r="T520" s="4"/>
      <c r="U520" s="4"/>
      <c r="V520" s="4"/>
      <c r="W520" s="4"/>
      <c r="X520" s="4"/>
    </row>
    <row r="521" spans="3:24">
      <c r="C521" s="4"/>
      <c r="D521" s="13"/>
      <c r="E521" s="13"/>
      <c r="F521" s="13"/>
      <c r="G521" s="13"/>
      <c r="H521" s="13"/>
      <c r="I521" s="13"/>
      <c r="J521" s="13"/>
      <c r="K521" s="4"/>
      <c r="L521" s="4"/>
      <c r="M521" s="4"/>
      <c r="Q521" s="4"/>
      <c r="R521" s="4"/>
      <c r="S521" s="4"/>
      <c r="T521" s="4"/>
      <c r="U521" s="4"/>
      <c r="V521" s="4"/>
      <c r="W521" s="4"/>
      <c r="X521" s="4"/>
    </row>
    <row r="522" spans="3:24">
      <c r="C522" s="4"/>
      <c r="D522" s="13"/>
      <c r="E522" s="13"/>
      <c r="F522" s="13"/>
      <c r="G522" s="13"/>
      <c r="H522" s="13"/>
      <c r="I522" s="13"/>
      <c r="J522" s="13"/>
      <c r="K522" s="4"/>
      <c r="L522" s="4"/>
      <c r="M522" s="4"/>
      <c r="Q522" s="4"/>
      <c r="R522" s="4"/>
      <c r="S522" s="4"/>
      <c r="T522" s="4"/>
      <c r="U522" s="4"/>
      <c r="V522" s="4"/>
      <c r="W522" s="4"/>
      <c r="X522" s="4"/>
    </row>
    <row r="523" spans="3:24">
      <c r="C523" s="4"/>
      <c r="D523" s="13"/>
      <c r="E523" s="13"/>
      <c r="F523" s="13"/>
      <c r="G523" s="13"/>
      <c r="H523" s="13"/>
      <c r="I523" s="13"/>
      <c r="J523" s="13"/>
      <c r="K523" s="4"/>
      <c r="L523" s="4"/>
      <c r="M523" s="4"/>
      <c r="Q523" s="4"/>
      <c r="R523" s="4"/>
      <c r="S523" s="4"/>
      <c r="T523" s="4"/>
      <c r="U523" s="4"/>
      <c r="V523" s="4"/>
      <c r="W523" s="4"/>
      <c r="X523" s="4"/>
    </row>
    <row r="524" spans="3:24">
      <c r="C524" s="4"/>
      <c r="D524" s="13"/>
      <c r="E524" s="13"/>
      <c r="F524" s="13"/>
      <c r="G524" s="13"/>
      <c r="H524" s="13"/>
      <c r="I524" s="13"/>
      <c r="J524" s="13"/>
      <c r="K524" s="4"/>
      <c r="L524" s="4"/>
      <c r="M524" s="4"/>
      <c r="Q524" s="4"/>
      <c r="R524" s="4"/>
      <c r="S524" s="4"/>
      <c r="T524" s="4"/>
      <c r="U524" s="4"/>
      <c r="V524" s="4"/>
      <c r="W524" s="4"/>
      <c r="X524" s="4"/>
    </row>
    <row r="525" spans="3:24">
      <c r="C525" s="4"/>
      <c r="D525" s="13"/>
      <c r="E525" s="13"/>
      <c r="F525" s="13"/>
      <c r="G525" s="13"/>
      <c r="H525" s="13"/>
      <c r="I525" s="13"/>
      <c r="J525" s="13"/>
      <c r="K525" s="4"/>
      <c r="L525" s="4"/>
      <c r="M525" s="4"/>
      <c r="Q525" s="4"/>
      <c r="R525" s="4"/>
      <c r="S525" s="4"/>
      <c r="T525" s="4"/>
      <c r="U525" s="4"/>
      <c r="V525" s="4"/>
      <c r="W525" s="4"/>
      <c r="X525" s="4"/>
    </row>
    <row r="526" spans="3:24">
      <c r="C526" s="4"/>
      <c r="D526" s="13"/>
      <c r="E526" s="13"/>
      <c r="F526" s="13"/>
      <c r="G526" s="13"/>
      <c r="H526" s="13"/>
      <c r="I526" s="13"/>
      <c r="J526" s="13"/>
      <c r="K526" s="4"/>
      <c r="L526" s="4"/>
      <c r="M526" s="4"/>
      <c r="Q526" s="4"/>
      <c r="R526" s="4"/>
      <c r="S526" s="4"/>
      <c r="T526" s="4"/>
      <c r="U526" s="4"/>
      <c r="V526" s="4"/>
      <c r="W526" s="4"/>
      <c r="X526" s="4"/>
    </row>
    <row r="527" spans="3:24">
      <c r="C527" s="4"/>
      <c r="D527" s="13"/>
      <c r="E527" s="13"/>
      <c r="F527" s="13"/>
      <c r="G527" s="13"/>
      <c r="H527" s="13"/>
      <c r="I527" s="13"/>
      <c r="J527" s="13"/>
      <c r="K527" s="4"/>
      <c r="L527" s="4"/>
      <c r="M527" s="4"/>
      <c r="Q527" s="4"/>
      <c r="R527" s="4"/>
      <c r="S527" s="4"/>
      <c r="T527" s="4"/>
      <c r="U527" s="4"/>
      <c r="V527" s="4"/>
      <c r="W527" s="4"/>
      <c r="X527" s="4"/>
    </row>
    <row r="528" spans="3:24">
      <c r="C528" s="4"/>
      <c r="D528" s="13"/>
      <c r="E528" s="13"/>
      <c r="F528" s="13"/>
      <c r="G528" s="13"/>
      <c r="H528" s="13"/>
      <c r="I528" s="13"/>
      <c r="J528" s="13"/>
      <c r="K528" s="4"/>
      <c r="L528" s="4"/>
      <c r="M528" s="4"/>
      <c r="Q528" s="4"/>
      <c r="R528" s="4"/>
      <c r="S528" s="4"/>
      <c r="T528" s="4"/>
      <c r="U528" s="4"/>
      <c r="V528" s="4"/>
      <c r="W528" s="4"/>
      <c r="X528" s="4"/>
    </row>
    <row r="529" spans="3:24">
      <c r="C529" s="4"/>
      <c r="D529" s="13"/>
      <c r="E529" s="13"/>
      <c r="F529" s="13"/>
      <c r="G529" s="13"/>
      <c r="H529" s="13"/>
      <c r="I529" s="13"/>
      <c r="J529" s="13"/>
      <c r="K529" s="4"/>
      <c r="L529" s="4"/>
      <c r="M529" s="4"/>
      <c r="Q529" s="4"/>
      <c r="R529" s="4"/>
      <c r="S529" s="4"/>
      <c r="T529" s="4"/>
      <c r="U529" s="4"/>
      <c r="V529" s="4"/>
      <c r="W529" s="4"/>
      <c r="X529" s="4"/>
    </row>
    <row r="530" spans="3:24">
      <c r="C530" s="4"/>
      <c r="D530" s="13"/>
      <c r="E530" s="13"/>
      <c r="F530" s="13"/>
      <c r="G530" s="13"/>
      <c r="H530" s="13"/>
      <c r="I530" s="13"/>
      <c r="J530" s="13"/>
      <c r="K530" s="4"/>
      <c r="L530" s="4"/>
      <c r="M530" s="4"/>
      <c r="Q530" s="4"/>
      <c r="R530" s="4"/>
      <c r="S530" s="4"/>
      <c r="T530" s="4"/>
      <c r="U530" s="4"/>
      <c r="V530" s="4"/>
      <c r="W530" s="4"/>
      <c r="X530" s="4"/>
    </row>
    <row r="531" spans="3:24">
      <c r="C531" s="4"/>
      <c r="D531" s="13"/>
      <c r="E531" s="13"/>
      <c r="F531" s="13"/>
      <c r="G531" s="13"/>
      <c r="H531" s="13"/>
      <c r="I531" s="13"/>
      <c r="J531" s="13"/>
      <c r="K531" s="4"/>
      <c r="L531" s="4"/>
      <c r="M531" s="4"/>
      <c r="Q531" s="4"/>
      <c r="R531" s="4"/>
      <c r="S531" s="4"/>
      <c r="T531" s="4"/>
      <c r="U531" s="4"/>
      <c r="V531" s="4"/>
      <c r="W531" s="4"/>
      <c r="X531" s="4"/>
    </row>
    <row r="532" spans="3:24">
      <c r="C532" s="4"/>
      <c r="D532" s="13"/>
      <c r="E532" s="13"/>
      <c r="F532" s="13"/>
      <c r="G532" s="13"/>
      <c r="H532" s="13"/>
      <c r="I532" s="13"/>
      <c r="J532" s="13"/>
      <c r="K532" s="4"/>
      <c r="L532" s="4"/>
      <c r="M532" s="4"/>
      <c r="Q532" s="4"/>
      <c r="R532" s="4"/>
      <c r="S532" s="4"/>
      <c r="T532" s="4"/>
      <c r="U532" s="4"/>
      <c r="V532" s="4"/>
      <c r="W532" s="4"/>
      <c r="X532" s="4"/>
    </row>
    <row r="533" spans="3:24">
      <c r="C533" s="4"/>
      <c r="D533" s="13"/>
      <c r="E533" s="13"/>
      <c r="F533" s="13"/>
      <c r="G533" s="13"/>
      <c r="H533" s="13"/>
      <c r="I533" s="13"/>
      <c r="J533" s="13"/>
      <c r="K533" s="4"/>
      <c r="L533" s="4"/>
      <c r="M533" s="4"/>
      <c r="Q533" s="4"/>
      <c r="R533" s="4"/>
      <c r="S533" s="4"/>
      <c r="T533" s="4"/>
      <c r="U533" s="4"/>
      <c r="V533" s="4"/>
      <c r="W533" s="4"/>
      <c r="X533" s="4"/>
    </row>
    <row r="534" spans="3:24">
      <c r="C534" s="4"/>
      <c r="D534" s="13"/>
      <c r="E534" s="13"/>
      <c r="F534" s="13"/>
      <c r="G534" s="13"/>
      <c r="H534" s="13"/>
      <c r="I534" s="13"/>
      <c r="J534" s="13"/>
      <c r="K534" s="4"/>
      <c r="L534" s="4"/>
      <c r="M534" s="4"/>
      <c r="Q534" s="4"/>
      <c r="R534" s="4"/>
      <c r="S534" s="4"/>
      <c r="T534" s="4"/>
      <c r="U534" s="4"/>
      <c r="V534" s="4"/>
      <c r="W534" s="4"/>
      <c r="X534" s="4"/>
    </row>
    <row r="535" spans="3:24">
      <c r="C535" s="4"/>
      <c r="D535" s="13"/>
      <c r="E535" s="13"/>
      <c r="F535" s="13"/>
      <c r="G535" s="13"/>
      <c r="H535" s="13"/>
      <c r="I535" s="13"/>
      <c r="J535" s="13"/>
      <c r="K535" s="4"/>
      <c r="L535" s="4"/>
      <c r="M535" s="4"/>
      <c r="Q535" s="4"/>
      <c r="R535" s="4"/>
      <c r="S535" s="4"/>
      <c r="T535" s="4"/>
      <c r="U535" s="4"/>
      <c r="V535" s="4"/>
      <c r="W535" s="4"/>
      <c r="X535" s="4"/>
    </row>
    <row r="536" spans="3:24">
      <c r="C536" s="4"/>
      <c r="D536" s="13"/>
      <c r="E536" s="13"/>
      <c r="F536" s="13"/>
      <c r="G536" s="13"/>
      <c r="H536" s="13"/>
      <c r="I536" s="13"/>
      <c r="J536" s="13"/>
      <c r="K536" s="4"/>
      <c r="L536" s="4"/>
      <c r="M536" s="4"/>
      <c r="Q536" s="4"/>
      <c r="R536" s="4"/>
      <c r="S536" s="4"/>
      <c r="T536" s="4"/>
      <c r="U536" s="4"/>
      <c r="V536" s="4"/>
      <c r="W536" s="4"/>
      <c r="X536" s="4"/>
    </row>
    <row r="537" spans="3:24">
      <c r="C537" s="4"/>
      <c r="D537" s="13"/>
      <c r="E537" s="13"/>
      <c r="F537" s="13"/>
      <c r="G537" s="13"/>
      <c r="H537" s="13"/>
      <c r="I537" s="13"/>
      <c r="J537" s="13"/>
      <c r="K537" s="4"/>
      <c r="L537" s="4"/>
      <c r="M537" s="4"/>
      <c r="Q537" s="4"/>
      <c r="R537" s="4"/>
      <c r="S537" s="4"/>
      <c r="T537" s="4"/>
      <c r="U537" s="4"/>
      <c r="V537" s="4"/>
      <c r="W537" s="4"/>
      <c r="X537" s="4"/>
    </row>
    <row r="538" spans="3:24">
      <c r="C538" s="4"/>
      <c r="D538" s="13"/>
      <c r="E538" s="13"/>
      <c r="F538" s="13"/>
      <c r="G538" s="13"/>
      <c r="H538" s="13"/>
      <c r="I538" s="13"/>
      <c r="J538" s="13"/>
      <c r="K538" s="4"/>
      <c r="L538" s="4"/>
      <c r="M538" s="4"/>
      <c r="Q538" s="4"/>
      <c r="R538" s="4"/>
      <c r="S538" s="4"/>
      <c r="T538" s="4"/>
      <c r="U538" s="4"/>
      <c r="V538" s="4"/>
      <c r="W538" s="4"/>
      <c r="X538" s="4"/>
    </row>
    <row r="539" spans="3:24">
      <c r="C539" s="4"/>
      <c r="D539" s="13"/>
      <c r="E539" s="13"/>
      <c r="F539" s="13"/>
      <c r="G539" s="13"/>
      <c r="H539" s="13"/>
      <c r="I539" s="13"/>
      <c r="J539" s="13"/>
      <c r="K539" s="4"/>
      <c r="L539" s="4"/>
      <c r="M539" s="4"/>
      <c r="Q539" s="4"/>
      <c r="R539" s="4"/>
      <c r="S539" s="4"/>
      <c r="T539" s="4"/>
      <c r="U539" s="4"/>
      <c r="V539" s="4"/>
      <c r="W539" s="4"/>
      <c r="X539" s="4"/>
    </row>
    <row r="540" spans="3:24">
      <c r="C540" s="4"/>
      <c r="D540" s="13"/>
      <c r="E540" s="13"/>
      <c r="F540" s="13"/>
      <c r="G540" s="13"/>
      <c r="H540" s="13"/>
      <c r="I540" s="13"/>
      <c r="J540" s="13"/>
      <c r="K540" s="4"/>
      <c r="L540" s="4"/>
      <c r="M540" s="4"/>
      <c r="Q540" s="4"/>
      <c r="R540" s="4"/>
      <c r="S540" s="4"/>
      <c r="T540" s="4"/>
      <c r="U540" s="4"/>
      <c r="V540" s="4"/>
      <c r="W540" s="4"/>
      <c r="X540" s="4"/>
    </row>
    <row r="541" spans="3:24">
      <c r="C541" s="4"/>
      <c r="D541" s="13"/>
      <c r="E541" s="13"/>
      <c r="F541" s="13"/>
      <c r="G541" s="13"/>
      <c r="H541" s="13"/>
      <c r="I541" s="13"/>
      <c r="J541" s="13"/>
      <c r="K541" s="4"/>
      <c r="L541" s="4"/>
      <c r="M541" s="4"/>
      <c r="Q541" s="4"/>
      <c r="R541" s="4"/>
      <c r="S541" s="4"/>
      <c r="T541" s="4"/>
      <c r="U541" s="4"/>
      <c r="V541" s="4"/>
      <c r="W541" s="4"/>
      <c r="X541" s="4"/>
    </row>
    <row r="542" spans="3:24">
      <c r="C542" s="4"/>
      <c r="D542" s="13"/>
      <c r="E542" s="13"/>
      <c r="F542" s="13"/>
      <c r="G542" s="13"/>
      <c r="H542" s="13"/>
      <c r="I542" s="13"/>
      <c r="J542" s="13"/>
      <c r="K542" s="4"/>
      <c r="L542" s="4"/>
      <c r="M542" s="4"/>
      <c r="Q542" s="4"/>
      <c r="R542" s="4"/>
      <c r="S542" s="4"/>
      <c r="T542" s="4"/>
      <c r="U542" s="4"/>
      <c r="V542" s="4"/>
      <c r="W542" s="4"/>
      <c r="X542" s="4"/>
    </row>
    <row r="543" spans="3:24">
      <c r="C543" s="4"/>
      <c r="D543" s="13"/>
      <c r="E543" s="13"/>
      <c r="F543" s="13"/>
      <c r="G543" s="13"/>
      <c r="H543" s="13"/>
      <c r="I543" s="13"/>
      <c r="J543" s="13"/>
      <c r="K543" s="4"/>
      <c r="L543" s="4"/>
      <c r="M543" s="4"/>
      <c r="Q543" s="4"/>
      <c r="R543" s="4"/>
      <c r="S543" s="4"/>
      <c r="T543" s="4"/>
      <c r="U543" s="4"/>
      <c r="V543" s="4"/>
      <c r="W543" s="4"/>
      <c r="X543" s="4"/>
    </row>
    <row r="544" spans="3:24">
      <c r="C544" s="4"/>
      <c r="D544" s="13"/>
      <c r="E544" s="13"/>
      <c r="F544" s="13"/>
      <c r="G544" s="13"/>
      <c r="H544" s="13"/>
      <c r="I544" s="13"/>
      <c r="J544" s="13"/>
      <c r="K544" s="4"/>
      <c r="L544" s="4"/>
      <c r="M544" s="4"/>
      <c r="Q544" s="4"/>
      <c r="R544" s="4"/>
      <c r="S544" s="4"/>
      <c r="T544" s="4"/>
      <c r="U544" s="4"/>
      <c r="V544" s="4"/>
      <c r="W544" s="4"/>
      <c r="X544" s="4"/>
    </row>
    <row r="545" spans="3:24">
      <c r="C545" s="4"/>
      <c r="D545" s="13"/>
      <c r="E545" s="13"/>
      <c r="F545" s="13"/>
      <c r="G545" s="13"/>
      <c r="H545" s="13"/>
      <c r="I545" s="13"/>
      <c r="J545" s="13"/>
      <c r="K545" s="4"/>
      <c r="L545" s="4"/>
      <c r="M545" s="4"/>
      <c r="Q545" s="4"/>
      <c r="R545" s="4"/>
      <c r="S545" s="4"/>
      <c r="T545" s="4"/>
      <c r="U545" s="4"/>
      <c r="V545" s="4"/>
      <c r="W545" s="4"/>
      <c r="X545" s="4"/>
    </row>
    <row r="546" spans="3:24">
      <c r="C546" s="4"/>
      <c r="D546" s="13"/>
      <c r="E546" s="13"/>
      <c r="F546" s="13"/>
      <c r="G546" s="13"/>
      <c r="H546" s="13"/>
      <c r="I546" s="13"/>
      <c r="J546" s="13"/>
      <c r="K546" s="4"/>
      <c r="L546" s="4"/>
      <c r="M546" s="4"/>
      <c r="Q546" s="4"/>
      <c r="R546" s="4"/>
      <c r="S546" s="4"/>
      <c r="T546" s="4"/>
      <c r="U546" s="4"/>
      <c r="V546" s="4"/>
      <c r="W546" s="4"/>
      <c r="X546" s="4"/>
    </row>
    <row r="547" spans="3:24">
      <c r="C547" s="4"/>
      <c r="D547" s="13"/>
      <c r="E547" s="13"/>
      <c r="F547" s="13"/>
      <c r="G547" s="13"/>
      <c r="H547" s="13"/>
      <c r="I547" s="13"/>
      <c r="J547" s="13"/>
      <c r="K547" s="4"/>
      <c r="L547" s="4"/>
      <c r="M547" s="4"/>
      <c r="Q547" s="4"/>
      <c r="R547" s="4"/>
      <c r="S547" s="4"/>
      <c r="T547" s="4"/>
      <c r="U547" s="4"/>
      <c r="V547" s="4"/>
      <c r="W547" s="4"/>
      <c r="X547" s="4"/>
    </row>
    <row r="548" spans="3:24">
      <c r="C548" s="4"/>
      <c r="D548" s="13"/>
      <c r="E548" s="13"/>
      <c r="F548" s="13"/>
      <c r="G548" s="13"/>
      <c r="H548" s="13"/>
      <c r="I548" s="13"/>
      <c r="J548" s="13"/>
      <c r="K548" s="4"/>
      <c r="L548" s="4"/>
      <c r="M548" s="4"/>
      <c r="Q548" s="4"/>
      <c r="R548" s="4"/>
      <c r="S548" s="4"/>
      <c r="T548" s="4"/>
      <c r="U548" s="4"/>
      <c r="V548" s="4"/>
      <c r="W548" s="4"/>
      <c r="X548" s="4"/>
    </row>
    <row r="549" spans="3:24">
      <c r="C549" s="4"/>
      <c r="D549" s="13"/>
      <c r="E549" s="13"/>
      <c r="F549" s="13"/>
      <c r="G549" s="13"/>
      <c r="H549" s="13"/>
      <c r="I549" s="13"/>
      <c r="J549" s="13"/>
      <c r="K549" s="4"/>
      <c r="L549" s="4"/>
      <c r="M549" s="4"/>
      <c r="Q549" s="4"/>
      <c r="R549" s="4"/>
      <c r="S549" s="4"/>
      <c r="T549" s="4"/>
      <c r="U549" s="4"/>
      <c r="V549" s="4"/>
      <c r="W549" s="4"/>
      <c r="X549" s="4"/>
    </row>
    <row r="550" spans="3:24">
      <c r="C550" s="4"/>
      <c r="D550" s="13"/>
      <c r="E550" s="13"/>
      <c r="F550" s="13"/>
      <c r="G550" s="13"/>
      <c r="H550" s="13"/>
      <c r="I550" s="13"/>
      <c r="J550" s="13"/>
      <c r="K550" s="4"/>
      <c r="L550" s="4"/>
      <c r="M550" s="4"/>
      <c r="Q550" s="4"/>
      <c r="R550" s="4"/>
      <c r="S550" s="4"/>
      <c r="T550" s="4"/>
      <c r="U550" s="4"/>
      <c r="V550" s="4"/>
      <c r="W550" s="4"/>
      <c r="X550" s="4"/>
    </row>
    <row r="551" spans="3:24">
      <c r="C551" s="4"/>
      <c r="D551" s="13"/>
      <c r="E551" s="13"/>
      <c r="F551" s="13"/>
      <c r="G551" s="13"/>
      <c r="H551" s="13"/>
      <c r="I551" s="13"/>
      <c r="J551" s="13"/>
      <c r="K551" s="4"/>
      <c r="L551" s="4"/>
      <c r="M551" s="4"/>
      <c r="Q551" s="4"/>
      <c r="R551" s="4"/>
      <c r="S551" s="4"/>
      <c r="T551" s="4"/>
      <c r="U551" s="4"/>
      <c r="V551" s="4"/>
      <c r="W551" s="4"/>
      <c r="X551" s="4"/>
    </row>
    <row r="552" spans="3:24">
      <c r="C552" s="4"/>
      <c r="D552" s="13"/>
      <c r="E552" s="13"/>
      <c r="F552" s="13"/>
      <c r="G552" s="13"/>
      <c r="H552" s="13"/>
      <c r="I552" s="13"/>
      <c r="J552" s="13"/>
      <c r="K552" s="4"/>
      <c r="L552" s="4"/>
      <c r="M552" s="4"/>
      <c r="Q552" s="4"/>
      <c r="R552" s="4"/>
      <c r="S552" s="4"/>
      <c r="T552" s="4"/>
      <c r="U552" s="4"/>
      <c r="V552" s="4"/>
      <c r="W552" s="4"/>
      <c r="X552" s="4"/>
    </row>
    <row r="553" spans="3:24">
      <c r="C553" s="4"/>
      <c r="D553" s="13"/>
      <c r="E553" s="13"/>
      <c r="F553" s="13"/>
      <c r="G553" s="13"/>
      <c r="H553" s="13"/>
      <c r="I553" s="13"/>
      <c r="J553" s="13"/>
      <c r="K553" s="4"/>
      <c r="L553" s="4"/>
      <c r="M553" s="4"/>
      <c r="Q553" s="4"/>
      <c r="R553" s="4"/>
      <c r="S553" s="4"/>
      <c r="T553" s="4"/>
      <c r="U553" s="4"/>
      <c r="V553" s="4"/>
      <c r="W553" s="4"/>
      <c r="X553" s="4"/>
    </row>
    <row r="554" spans="3:24">
      <c r="C554" s="4"/>
      <c r="D554" s="13"/>
      <c r="E554" s="13"/>
      <c r="F554" s="13"/>
      <c r="G554" s="13"/>
      <c r="H554" s="13"/>
      <c r="I554" s="13"/>
      <c r="J554" s="13"/>
      <c r="K554" s="4"/>
      <c r="L554" s="4"/>
      <c r="M554" s="4"/>
      <c r="Q554" s="4"/>
      <c r="R554" s="4"/>
      <c r="S554" s="4"/>
      <c r="T554" s="4"/>
      <c r="U554" s="4"/>
      <c r="V554" s="4"/>
      <c r="W554" s="4"/>
      <c r="X554" s="4"/>
    </row>
    <row r="555" spans="3:24">
      <c r="C555" s="4"/>
      <c r="D555" s="13"/>
      <c r="E555" s="13"/>
      <c r="F555" s="13"/>
      <c r="G555" s="13"/>
      <c r="H555" s="13"/>
      <c r="I555" s="13"/>
      <c r="J555" s="13"/>
      <c r="K555" s="4"/>
      <c r="L555" s="4"/>
      <c r="M555" s="4"/>
      <c r="Q555" s="4"/>
      <c r="R555" s="4"/>
      <c r="S555" s="4"/>
      <c r="T555" s="4"/>
      <c r="U555" s="4"/>
      <c r="V555" s="4"/>
      <c r="W555" s="4"/>
      <c r="X555" s="4"/>
    </row>
    <row r="556" spans="3:24">
      <c r="C556" s="4"/>
      <c r="D556" s="13"/>
      <c r="E556" s="13"/>
      <c r="F556" s="13"/>
      <c r="G556" s="13"/>
      <c r="H556" s="13"/>
      <c r="I556" s="13"/>
      <c r="J556" s="13"/>
      <c r="K556" s="4"/>
      <c r="L556" s="4"/>
      <c r="M556" s="4"/>
      <c r="Q556" s="4"/>
      <c r="R556" s="4"/>
      <c r="S556" s="4"/>
      <c r="T556" s="4"/>
      <c r="U556" s="4"/>
      <c r="V556" s="4"/>
      <c r="W556" s="4"/>
      <c r="X556" s="4"/>
    </row>
    <row r="557" spans="3:24">
      <c r="C557" s="4"/>
      <c r="D557" s="13"/>
      <c r="E557" s="13"/>
      <c r="F557" s="13"/>
      <c r="G557" s="13"/>
      <c r="H557" s="13"/>
      <c r="I557" s="13"/>
      <c r="J557" s="13"/>
      <c r="K557" s="4"/>
      <c r="L557" s="4"/>
      <c r="M557" s="4"/>
      <c r="Q557" s="4"/>
      <c r="R557" s="4"/>
      <c r="S557" s="4"/>
      <c r="T557" s="4"/>
      <c r="U557" s="4"/>
      <c r="V557" s="4"/>
      <c r="W557" s="4"/>
      <c r="X557" s="4"/>
    </row>
    <row r="558" spans="3:24">
      <c r="C558" s="4"/>
      <c r="D558" s="13"/>
      <c r="E558" s="13"/>
      <c r="F558" s="13"/>
      <c r="G558" s="13"/>
      <c r="H558" s="13"/>
      <c r="I558" s="13"/>
      <c r="J558" s="13"/>
      <c r="K558" s="4"/>
      <c r="L558" s="4"/>
      <c r="M558" s="4"/>
      <c r="Q558" s="4"/>
      <c r="R558" s="4"/>
      <c r="S558" s="4"/>
      <c r="T558" s="4"/>
      <c r="U558" s="4"/>
      <c r="V558" s="4"/>
      <c r="W558" s="4"/>
      <c r="X558" s="4"/>
    </row>
    <row r="559" spans="3:24">
      <c r="C559" s="4"/>
      <c r="D559" s="13"/>
      <c r="E559" s="13"/>
      <c r="F559" s="13"/>
      <c r="G559" s="13"/>
      <c r="H559" s="13"/>
      <c r="I559" s="13"/>
      <c r="J559" s="13"/>
      <c r="K559" s="4"/>
      <c r="L559" s="4"/>
      <c r="M559" s="4"/>
      <c r="Q559" s="4"/>
      <c r="R559" s="4"/>
      <c r="S559" s="4"/>
      <c r="T559" s="4"/>
      <c r="U559" s="4"/>
      <c r="V559" s="4"/>
      <c r="W559" s="4"/>
      <c r="X559" s="4"/>
    </row>
    <row r="560" spans="3:24">
      <c r="C560" s="4"/>
      <c r="D560" s="13"/>
      <c r="E560" s="13"/>
      <c r="F560" s="13"/>
      <c r="G560" s="13"/>
      <c r="H560" s="13"/>
      <c r="I560" s="13"/>
      <c r="J560" s="13"/>
      <c r="K560" s="4"/>
      <c r="L560" s="4"/>
      <c r="M560" s="4"/>
      <c r="Q560" s="4"/>
      <c r="R560" s="4"/>
      <c r="S560" s="4"/>
      <c r="T560" s="4"/>
      <c r="U560" s="4"/>
      <c r="V560" s="4"/>
      <c r="W560" s="4"/>
      <c r="X560" s="4"/>
    </row>
    <row r="561" spans="3:24">
      <c r="C561" s="4"/>
      <c r="D561" s="13"/>
      <c r="E561" s="13"/>
      <c r="F561" s="13"/>
      <c r="G561" s="13"/>
      <c r="H561" s="13"/>
      <c r="I561" s="13"/>
      <c r="J561" s="13"/>
      <c r="K561" s="4"/>
      <c r="L561" s="4"/>
      <c r="M561" s="4"/>
      <c r="Q561" s="4"/>
      <c r="R561" s="4"/>
      <c r="S561" s="4"/>
      <c r="T561" s="4"/>
      <c r="U561" s="4"/>
      <c r="V561" s="4"/>
      <c r="W561" s="4"/>
      <c r="X561" s="4"/>
    </row>
    <row r="562" spans="3:24">
      <c r="C562" s="4"/>
      <c r="D562" s="13"/>
      <c r="E562" s="13"/>
      <c r="F562" s="13"/>
      <c r="G562" s="13"/>
      <c r="H562" s="13"/>
      <c r="I562" s="13"/>
      <c r="J562" s="13"/>
      <c r="K562" s="4"/>
      <c r="L562" s="4"/>
      <c r="M562" s="4"/>
      <c r="Q562" s="4"/>
      <c r="R562" s="4"/>
      <c r="S562" s="4"/>
      <c r="T562" s="4"/>
      <c r="U562" s="4"/>
      <c r="V562" s="4"/>
      <c r="W562" s="4"/>
      <c r="X562" s="4"/>
    </row>
    <row r="563" spans="3:24">
      <c r="C563" s="4"/>
      <c r="D563" s="13"/>
      <c r="E563" s="13"/>
      <c r="F563" s="13"/>
      <c r="G563" s="13"/>
      <c r="H563" s="13"/>
      <c r="I563" s="13"/>
      <c r="J563" s="13"/>
      <c r="K563" s="4"/>
      <c r="L563" s="4"/>
      <c r="M563" s="4"/>
      <c r="Q563" s="4"/>
      <c r="R563" s="4"/>
      <c r="S563" s="4"/>
      <c r="T563" s="4"/>
      <c r="U563" s="4"/>
      <c r="V563" s="4"/>
      <c r="W563" s="4"/>
      <c r="X563" s="4"/>
    </row>
    <row r="564" spans="3:24">
      <c r="C564" s="4"/>
      <c r="D564" s="13"/>
      <c r="E564" s="13"/>
      <c r="F564" s="13"/>
      <c r="G564" s="13"/>
      <c r="H564" s="13"/>
      <c r="I564" s="13"/>
      <c r="J564" s="13"/>
      <c r="K564" s="4"/>
      <c r="L564" s="4"/>
      <c r="M564" s="4"/>
      <c r="Q564" s="4"/>
      <c r="R564" s="4"/>
      <c r="S564" s="4"/>
      <c r="T564" s="4"/>
      <c r="U564" s="4"/>
      <c r="V564" s="4"/>
      <c r="W564" s="4"/>
      <c r="X564" s="4"/>
    </row>
    <row r="565" spans="3:24">
      <c r="C565" s="4"/>
      <c r="D565" s="13"/>
      <c r="E565" s="13"/>
      <c r="F565" s="13"/>
      <c r="G565" s="13"/>
      <c r="H565" s="13"/>
      <c r="I565" s="13"/>
      <c r="J565" s="13"/>
      <c r="K565" s="4"/>
      <c r="L565" s="4"/>
      <c r="M565" s="4"/>
      <c r="Q565" s="4"/>
      <c r="R565" s="4"/>
      <c r="S565" s="4"/>
      <c r="T565" s="4"/>
      <c r="U565" s="4"/>
      <c r="V565" s="4"/>
      <c r="W565" s="4"/>
      <c r="X565" s="4"/>
    </row>
    <row r="566" spans="3:24">
      <c r="C566" s="4"/>
      <c r="D566" s="13"/>
      <c r="E566" s="13"/>
      <c r="F566" s="13"/>
      <c r="G566" s="13"/>
      <c r="H566" s="13"/>
      <c r="I566" s="13"/>
      <c r="J566" s="13"/>
      <c r="K566" s="4"/>
      <c r="L566" s="4"/>
      <c r="M566" s="4"/>
      <c r="Q566" s="4"/>
      <c r="R566" s="4"/>
      <c r="S566" s="4"/>
      <c r="T566" s="4"/>
      <c r="U566" s="4"/>
      <c r="V566" s="4"/>
      <c r="W566" s="4"/>
      <c r="X566" s="4"/>
    </row>
    <row r="567" spans="3:24">
      <c r="C567" s="4"/>
      <c r="D567" s="13"/>
      <c r="E567" s="13"/>
      <c r="F567" s="13"/>
      <c r="G567" s="13"/>
      <c r="H567" s="13"/>
      <c r="I567" s="13"/>
      <c r="J567" s="13"/>
      <c r="K567" s="4"/>
      <c r="L567" s="4"/>
      <c r="M567" s="4"/>
      <c r="Q567" s="4"/>
      <c r="R567" s="4"/>
      <c r="S567" s="4"/>
      <c r="T567" s="4"/>
      <c r="U567" s="4"/>
      <c r="V567" s="4"/>
      <c r="W567" s="4"/>
      <c r="X567" s="4"/>
    </row>
    <row r="568" spans="3:24">
      <c r="C568" s="4"/>
      <c r="D568" s="13"/>
      <c r="E568" s="13"/>
      <c r="F568" s="13"/>
      <c r="G568" s="13"/>
      <c r="H568" s="13"/>
      <c r="I568" s="13"/>
      <c r="J568" s="13"/>
      <c r="K568" s="4"/>
      <c r="L568" s="4"/>
      <c r="M568" s="4"/>
      <c r="Q568" s="4"/>
      <c r="R568" s="4"/>
      <c r="S568" s="4"/>
      <c r="T568" s="4"/>
      <c r="U568" s="4"/>
      <c r="V568" s="4"/>
      <c r="W568" s="4"/>
      <c r="X568" s="4"/>
    </row>
    <row r="569" spans="3:24">
      <c r="C569" s="4"/>
      <c r="D569" s="13"/>
      <c r="E569" s="13"/>
      <c r="F569" s="13"/>
      <c r="G569" s="13"/>
      <c r="H569" s="13"/>
      <c r="I569" s="13"/>
      <c r="J569" s="13"/>
      <c r="K569" s="4"/>
      <c r="L569" s="4"/>
      <c r="M569" s="4"/>
      <c r="Q569" s="4"/>
      <c r="R569" s="4"/>
      <c r="S569" s="4"/>
      <c r="T569" s="4"/>
      <c r="U569" s="4"/>
      <c r="V569" s="4"/>
      <c r="W569" s="4"/>
      <c r="X569" s="4"/>
    </row>
    <row r="570" spans="3:24">
      <c r="C570" s="4"/>
      <c r="D570" s="13"/>
      <c r="E570" s="13"/>
      <c r="F570" s="13"/>
      <c r="G570" s="13"/>
      <c r="H570" s="13"/>
      <c r="I570" s="13"/>
      <c r="J570" s="13"/>
      <c r="K570" s="4"/>
      <c r="L570" s="4"/>
      <c r="M570" s="4"/>
      <c r="Q570" s="4"/>
      <c r="R570" s="4"/>
      <c r="S570" s="4"/>
      <c r="T570" s="4"/>
      <c r="U570" s="4"/>
      <c r="V570" s="4"/>
      <c r="W570" s="4"/>
      <c r="X570" s="4"/>
    </row>
    <row r="571" spans="3:24">
      <c r="C571" s="4"/>
      <c r="D571" s="13"/>
      <c r="E571" s="13"/>
      <c r="F571" s="13"/>
      <c r="G571" s="13"/>
      <c r="H571" s="13"/>
      <c r="I571" s="13"/>
      <c r="J571" s="13"/>
      <c r="K571" s="4"/>
      <c r="L571" s="4"/>
      <c r="M571" s="4"/>
      <c r="Q571" s="4"/>
      <c r="R571" s="4"/>
      <c r="S571" s="4"/>
      <c r="T571" s="4"/>
      <c r="U571" s="4"/>
      <c r="V571" s="4"/>
      <c r="W571" s="4"/>
      <c r="X571" s="4"/>
    </row>
    <row r="572" spans="3:24">
      <c r="C572" s="4"/>
      <c r="D572" s="13"/>
      <c r="E572" s="13"/>
      <c r="F572" s="13"/>
      <c r="G572" s="13"/>
      <c r="H572" s="13"/>
      <c r="I572" s="13"/>
      <c r="J572" s="13"/>
      <c r="K572" s="4"/>
      <c r="L572" s="4"/>
      <c r="M572" s="4"/>
      <c r="Q572" s="4"/>
      <c r="R572" s="4"/>
      <c r="S572" s="4"/>
      <c r="T572" s="4"/>
      <c r="U572" s="4"/>
      <c r="V572" s="4"/>
      <c r="W572" s="4"/>
      <c r="X572" s="4"/>
    </row>
    <row r="573" spans="3:24">
      <c r="C573" s="4"/>
      <c r="D573" s="13"/>
      <c r="E573" s="13"/>
      <c r="F573" s="13"/>
      <c r="G573" s="13"/>
      <c r="H573" s="13"/>
      <c r="I573" s="13"/>
      <c r="J573" s="13"/>
      <c r="K573" s="4"/>
      <c r="L573" s="4"/>
      <c r="M573" s="4"/>
      <c r="Q573" s="4"/>
      <c r="R573" s="4"/>
      <c r="S573" s="4"/>
      <c r="T573" s="4"/>
      <c r="U573" s="4"/>
      <c r="V573" s="4"/>
      <c r="W573" s="4"/>
      <c r="X573" s="4"/>
    </row>
    <row r="574" spans="3:24">
      <c r="C574" s="4"/>
      <c r="D574" s="13"/>
      <c r="E574" s="13"/>
      <c r="F574" s="13"/>
      <c r="G574" s="13"/>
      <c r="H574" s="13"/>
      <c r="I574" s="13"/>
      <c r="J574" s="13"/>
      <c r="K574" s="4"/>
      <c r="L574" s="4"/>
      <c r="M574" s="4"/>
      <c r="Q574" s="4"/>
      <c r="R574" s="4"/>
      <c r="S574" s="4"/>
      <c r="T574" s="4"/>
      <c r="U574" s="4"/>
      <c r="V574" s="4"/>
      <c r="W574" s="4"/>
      <c r="X574" s="4"/>
    </row>
    <row r="575" spans="3:24">
      <c r="C575" s="4"/>
      <c r="D575" s="13"/>
      <c r="E575" s="13"/>
      <c r="F575" s="13"/>
      <c r="G575" s="13"/>
      <c r="H575" s="13"/>
      <c r="I575" s="13"/>
      <c r="J575" s="13"/>
      <c r="K575" s="4"/>
      <c r="L575" s="4"/>
      <c r="M575" s="4"/>
      <c r="Q575" s="4"/>
      <c r="R575" s="4"/>
      <c r="S575" s="4"/>
      <c r="T575" s="4"/>
      <c r="U575" s="4"/>
      <c r="V575" s="4"/>
      <c r="W575" s="4"/>
      <c r="X575" s="4"/>
    </row>
    <row r="576" spans="3:24">
      <c r="C576" s="4"/>
      <c r="D576" s="13"/>
      <c r="E576" s="13"/>
      <c r="F576" s="13"/>
      <c r="G576" s="13"/>
      <c r="H576" s="13"/>
      <c r="I576" s="13"/>
      <c r="J576" s="13"/>
      <c r="K576" s="4"/>
      <c r="L576" s="4"/>
      <c r="M576" s="4"/>
      <c r="Q576" s="4"/>
      <c r="R576" s="4"/>
      <c r="S576" s="4"/>
      <c r="T576" s="4"/>
      <c r="U576" s="4"/>
      <c r="V576" s="4"/>
      <c r="W576" s="4"/>
      <c r="X576" s="4"/>
    </row>
    <row r="577" spans="3:24">
      <c r="C577" s="4"/>
      <c r="D577" s="13"/>
      <c r="E577" s="13"/>
      <c r="F577" s="13"/>
      <c r="G577" s="13"/>
      <c r="H577" s="13"/>
      <c r="I577" s="13"/>
      <c r="J577" s="13"/>
      <c r="K577" s="4"/>
      <c r="L577" s="4"/>
      <c r="M577" s="4"/>
      <c r="Q577" s="4"/>
      <c r="R577" s="4"/>
      <c r="S577" s="4"/>
      <c r="T577" s="4"/>
      <c r="U577" s="4"/>
      <c r="V577" s="4"/>
      <c r="W577" s="4"/>
      <c r="X577" s="4"/>
    </row>
    <row r="578" spans="3:24">
      <c r="C578" s="4"/>
      <c r="D578" s="13"/>
      <c r="E578" s="13"/>
      <c r="F578" s="13"/>
      <c r="G578" s="13"/>
      <c r="H578" s="13"/>
      <c r="I578" s="13"/>
      <c r="J578" s="13"/>
      <c r="K578" s="4"/>
      <c r="L578" s="4"/>
      <c r="M578" s="4"/>
      <c r="Q578" s="4"/>
      <c r="R578" s="4"/>
      <c r="S578" s="4"/>
      <c r="T578" s="4"/>
      <c r="U578" s="4"/>
      <c r="V578" s="4"/>
      <c r="W578" s="4"/>
      <c r="X578" s="4"/>
    </row>
    <row r="579" spans="3:24">
      <c r="C579" s="4"/>
      <c r="D579" s="13"/>
      <c r="E579" s="13"/>
      <c r="F579" s="13"/>
      <c r="G579" s="13"/>
      <c r="H579" s="13"/>
      <c r="I579" s="13"/>
      <c r="J579" s="13"/>
      <c r="K579" s="4"/>
      <c r="L579" s="4"/>
      <c r="M579" s="4"/>
      <c r="Q579" s="4"/>
      <c r="R579" s="4"/>
      <c r="S579" s="4"/>
      <c r="T579" s="4"/>
      <c r="U579" s="4"/>
      <c r="V579" s="4"/>
      <c r="W579" s="4"/>
      <c r="X579" s="4"/>
    </row>
    <row r="580" spans="3:24">
      <c r="C580" s="4"/>
      <c r="D580" s="13"/>
      <c r="E580" s="13"/>
      <c r="F580" s="13"/>
      <c r="G580" s="13"/>
      <c r="H580" s="13"/>
      <c r="I580" s="13"/>
      <c r="J580" s="13"/>
      <c r="K580" s="4"/>
      <c r="L580" s="4"/>
      <c r="M580" s="4"/>
      <c r="Q580" s="4"/>
      <c r="R580" s="4"/>
      <c r="S580" s="4"/>
      <c r="T580" s="4"/>
      <c r="U580" s="4"/>
      <c r="V580" s="4"/>
      <c r="W580" s="4"/>
      <c r="X580" s="4"/>
    </row>
    <row r="581" spans="3:24">
      <c r="C581" s="4"/>
      <c r="D581" s="13"/>
      <c r="E581" s="13"/>
      <c r="F581" s="13"/>
      <c r="G581" s="13"/>
      <c r="H581" s="13"/>
      <c r="I581" s="13"/>
      <c r="J581" s="13"/>
      <c r="K581" s="4"/>
      <c r="L581" s="4"/>
      <c r="M581" s="4"/>
      <c r="Q581" s="4"/>
      <c r="R581" s="4"/>
      <c r="S581" s="4"/>
      <c r="T581" s="4"/>
      <c r="U581" s="4"/>
      <c r="V581" s="4"/>
      <c r="W581" s="4"/>
      <c r="X581" s="4"/>
    </row>
    <row r="582" spans="3:24">
      <c r="C582" s="4"/>
      <c r="D582" s="13"/>
      <c r="E582" s="13"/>
      <c r="F582" s="13"/>
      <c r="G582" s="13"/>
      <c r="H582" s="13"/>
      <c r="I582" s="13"/>
      <c r="J582" s="13"/>
      <c r="K582" s="4"/>
      <c r="L582" s="4"/>
      <c r="M582" s="4"/>
      <c r="Q582" s="4"/>
      <c r="R582" s="4"/>
      <c r="S582" s="4"/>
      <c r="T582" s="4"/>
      <c r="U582" s="4"/>
      <c r="V582" s="4"/>
      <c r="W582" s="4"/>
      <c r="X582" s="4"/>
    </row>
    <row r="583" spans="3:24">
      <c r="C583" s="4"/>
      <c r="D583" s="13"/>
      <c r="E583" s="13"/>
      <c r="F583" s="13"/>
      <c r="G583" s="13"/>
      <c r="H583" s="13"/>
      <c r="I583" s="13"/>
      <c r="J583" s="13"/>
      <c r="K583" s="4"/>
      <c r="L583" s="4"/>
      <c r="M583" s="4"/>
      <c r="Q583" s="4"/>
      <c r="R583" s="4"/>
      <c r="S583" s="4"/>
      <c r="T583" s="4"/>
      <c r="U583" s="4"/>
      <c r="V583" s="4"/>
      <c r="W583" s="4"/>
      <c r="X583" s="4"/>
    </row>
    <row r="584" spans="3:24">
      <c r="C584" s="4"/>
      <c r="D584" s="13"/>
      <c r="E584" s="13"/>
      <c r="F584" s="13"/>
      <c r="G584" s="13"/>
      <c r="H584" s="13"/>
      <c r="I584" s="13"/>
      <c r="J584" s="13"/>
      <c r="K584" s="4"/>
      <c r="L584" s="4"/>
      <c r="M584" s="4"/>
      <c r="Q584" s="4"/>
      <c r="R584" s="4"/>
      <c r="S584" s="4"/>
      <c r="T584" s="4"/>
      <c r="U584" s="4"/>
      <c r="V584" s="4"/>
      <c r="W584" s="4"/>
      <c r="X584" s="4"/>
    </row>
    <row r="585" spans="3:24">
      <c r="C585" s="4"/>
      <c r="D585" s="13"/>
      <c r="E585" s="13"/>
      <c r="F585" s="13"/>
      <c r="G585" s="13"/>
      <c r="H585" s="13"/>
      <c r="I585" s="13"/>
      <c r="J585" s="13"/>
      <c r="K585" s="4"/>
      <c r="L585" s="4"/>
      <c r="M585" s="4"/>
      <c r="Q585" s="4"/>
      <c r="R585" s="4"/>
      <c r="S585" s="4"/>
      <c r="T585" s="4"/>
      <c r="U585" s="4"/>
      <c r="V585" s="4"/>
      <c r="W585" s="4"/>
      <c r="X585" s="4"/>
    </row>
    <row r="586" spans="3:24">
      <c r="C586" s="4"/>
      <c r="D586" s="13"/>
      <c r="E586" s="13"/>
      <c r="F586" s="13"/>
      <c r="G586" s="13"/>
      <c r="H586" s="13"/>
      <c r="I586" s="13"/>
      <c r="J586" s="13"/>
      <c r="K586" s="4"/>
      <c r="L586" s="4"/>
      <c r="M586" s="4"/>
      <c r="Q586" s="4"/>
      <c r="R586" s="4"/>
      <c r="S586" s="4"/>
      <c r="T586" s="4"/>
      <c r="U586" s="4"/>
      <c r="V586" s="4"/>
      <c r="W586" s="4"/>
      <c r="X586" s="4"/>
    </row>
    <row r="587" spans="3:24">
      <c r="C587" s="4"/>
      <c r="D587" s="13"/>
      <c r="E587" s="13"/>
      <c r="F587" s="13"/>
      <c r="G587" s="13"/>
      <c r="H587" s="13"/>
      <c r="I587" s="13"/>
      <c r="J587" s="13"/>
      <c r="K587" s="4"/>
      <c r="L587" s="4"/>
      <c r="M587" s="4"/>
      <c r="Q587" s="4"/>
      <c r="R587" s="4"/>
      <c r="S587" s="4"/>
      <c r="T587" s="4"/>
      <c r="U587" s="4"/>
      <c r="V587" s="4"/>
      <c r="W587" s="4"/>
      <c r="X587" s="4"/>
    </row>
    <row r="588" spans="3:24">
      <c r="C588" s="4"/>
      <c r="D588" s="13"/>
      <c r="E588" s="13"/>
      <c r="F588" s="13"/>
      <c r="G588" s="13"/>
      <c r="H588" s="13"/>
      <c r="I588" s="13"/>
      <c r="J588" s="13"/>
      <c r="K588" s="4"/>
      <c r="L588" s="4"/>
      <c r="M588" s="4"/>
      <c r="Q588" s="4"/>
      <c r="R588" s="4"/>
      <c r="S588" s="4"/>
      <c r="T588" s="4"/>
      <c r="U588" s="4"/>
      <c r="V588" s="4"/>
      <c r="W588" s="4"/>
      <c r="X588" s="4"/>
    </row>
    <row r="589" spans="3:24">
      <c r="C589" s="4"/>
      <c r="D589" s="13"/>
      <c r="E589" s="13"/>
      <c r="F589" s="13"/>
      <c r="G589" s="13"/>
      <c r="H589" s="13"/>
      <c r="I589" s="13"/>
      <c r="J589" s="13"/>
      <c r="K589" s="4"/>
      <c r="L589" s="4"/>
      <c r="M589" s="4"/>
      <c r="Q589" s="4"/>
      <c r="R589" s="4"/>
      <c r="S589" s="4"/>
      <c r="T589" s="4"/>
      <c r="U589" s="4"/>
      <c r="V589" s="4"/>
      <c r="W589" s="4"/>
      <c r="X589" s="4"/>
    </row>
    <row r="590" spans="3:24">
      <c r="C590" s="4"/>
      <c r="D590" s="13"/>
      <c r="E590" s="13"/>
      <c r="F590" s="13"/>
      <c r="G590" s="13"/>
      <c r="H590" s="13"/>
      <c r="I590" s="13"/>
      <c r="J590" s="13"/>
      <c r="K590" s="4"/>
      <c r="L590" s="4"/>
      <c r="M590" s="4"/>
      <c r="Q590" s="4"/>
      <c r="R590" s="4"/>
      <c r="S590" s="4"/>
      <c r="T590" s="4"/>
      <c r="U590" s="4"/>
      <c r="V590" s="4"/>
      <c r="W590" s="4"/>
      <c r="X590" s="4"/>
    </row>
    <row r="591" spans="3:24">
      <c r="C591" s="4"/>
      <c r="D591" s="13"/>
      <c r="E591" s="13"/>
      <c r="F591" s="13"/>
      <c r="G591" s="13"/>
      <c r="H591" s="13"/>
      <c r="I591" s="13"/>
      <c r="J591" s="13"/>
      <c r="K591" s="4"/>
      <c r="L591" s="4"/>
      <c r="M591" s="4"/>
      <c r="Q591" s="4"/>
      <c r="R591" s="4"/>
      <c r="S591" s="4"/>
      <c r="T591" s="4"/>
      <c r="U591" s="4"/>
      <c r="V591" s="4"/>
      <c r="W591" s="4"/>
      <c r="X591" s="4"/>
    </row>
    <row r="592" spans="3:24">
      <c r="C592" s="4"/>
      <c r="D592" s="13"/>
      <c r="E592" s="13"/>
      <c r="F592" s="13"/>
      <c r="G592" s="13"/>
      <c r="H592" s="13"/>
      <c r="I592" s="13"/>
      <c r="J592" s="13"/>
      <c r="K592" s="4"/>
      <c r="L592" s="4"/>
      <c r="M592" s="4"/>
      <c r="Q592" s="4"/>
      <c r="R592" s="4"/>
      <c r="S592" s="4"/>
      <c r="T592" s="4"/>
      <c r="U592" s="4"/>
      <c r="V592" s="4"/>
      <c r="W592" s="4"/>
      <c r="X592" s="4"/>
    </row>
    <row r="593" spans="3:24">
      <c r="C593" s="4"/>
      <c r="D593" s="13"/>
      <c r="E593" s="13"/>
      <c r="F593" s="13"/>
      <c r="G593" s="13"/>
      <c r="H593" s="13"/>
      <c r="I593" s="13"/>
      <c r="J593" s="13"/>
      <c r="K593" s="4"/>
      <c r="L593" s="4"/>
      <c r="M593" s="4"/>
      <c r="Q593" s="4"/>
      <c r="R593" s="4"/>
      <c r="S593" s="4"/>
      <c r="T593" s="4"/>
      <c r="U593" s="4"/>
      <c r="V593" s="4"/>
      <c r="W593" s="4"/>
      <c r="X593" s="4"/>
    </row>
    <row r="594" spans="3:24">
      <c r="C594" s="4"/>
      <c r="D594" s="13"/>
      <c r="E594" s="13"/>
      <c r="F594" s="13"/>
      <c r="G594" s="13"/>
      <c r="H594" s="13"/>
      <c r="I594" s="13"/>
      <c r="J594" s="13"/>
      <c r="K594" s="4"/>
      <c r="L594" s="4"/>
      <c r="M594" s="4"/>
      <c r="Q594" s="4"/>
      <c r="R594" s="4"/>
      <c r="S594" s="4"/>
      <c r="T594" s="4"/>
      <c r="U594" s="4"/>
      <c r="V594" s="4"/>
      <c r="W594" s="4"/>
      <c r="X594" s="4"/>
    </row>
    <row r="595" spans="3:24">
      <c r="C595" s="4"/>
      <c r="D595" s="13"/>
      <c r="E595" s="13"/>
      <c r="F595" s="13"/>
      <c r="G595" s="13"/>
      <c r="H595" s="13"/>
      <c r="I595" s="13"/>
      <c r="J595" s="13"/>
      <c r="K595" s="4"/>
      <c r="L595" s="4"/>
      <c r="M595" s="4"/>
      <c r="Q595" s="4"/>
      <c r="R595" s="4"/>
      <c r="S595" s="4"/>
      <c r="T595" s="4"/>
      <c r="U595" s="4"/>
      <c r="V595" s="4"/>
      <c r="W595" s="4"/>
      <c r="X595" s="4"/>
    </row>
    <row r="596" spans="3:24">
      <c r="C596" s="4"/>
      <c r="D596" s="13"/>
      <c r="E596" s="13"/>
      <c r="F596" s="13"/>
      <c r="G596" s="13"/>
      <c r="H596" s="13"/>
      <c r="I596" s="13"/>
      <c r="J596" s="13"/>
      <c r="K596" s="4"/>
      <c r="L596" s="4"/>
      <c r="M596" s="4"/>
      <c r="Q596" s="4"/>
      <c r="R596" s="4"/>
      <c r="S596" s="4"/>
      <c r="T596" s="4"/>
      <c r="U596" s="4"/>
      <c r="V596" s="4"/>
      <c r="W596" s="4"/>
      <c r="X596" s="4"/>
    </row>
    <row r="597" spans="3:24">
      <c r="C597" s="4"/>
      <c r="D597" s="13"/>
      <c r="E597" s="13"/>
      <c r="F597" s="13"/>
      <c r="G597" s="13"/>
      <c r="H597" s="13"/>
      <c r="I597" s="13"/>
      <c r="J597" s="13"/>
      <c r="K597" s="4"/>
      <c r="L597" s="4"/>
      <c r="M597" s="4"/>
      <c r="Q597" s="4"/>
      <c r="R597" s="4"/>
      <c r="S597" s="4"/>
      <c r="T597" s="4"/>
      <c r="U597" s="4"/>
      <c r="V597" s="4"/>
      <c r="W597" s="4"/>
      <c r="X597" s="4"/>
    </row>
    <row r="598" spans="3:24">
      <c r="C598" s="4"/>
      <c r="D598" s="13"/>
      <c r="E598" s="13"/>
      <c r="F598" s="13"/>
      <c r="G598" s="13"/>
      <c r="H598" s="13"/>
      <c r="I598" s="13"/>
      <c r="J598" s="13"/>
      <c r="K598" s="4"/>
      <c r="L598" s="4"/>
      <c r="M598" s="4"/>
      <c r="Q598" s="4"/>
      <c r="R598" s="4"/>
      <c r="S598" s="4"/>
      <c r="T598" s="4"/>
      <c r="U598" s="4"/>
      <c r="V598" s="4"/>
      <c r="W598" s="4"/>
      <c r="X598" s="4"/>
    </row>
    <row r="599" spans="3:24">
      <c r="C599" s="4"/>
      <c r="D599" s="13"/>
      <c r="E599" s="13"/>
      <c r="F599" s="13"/>
      <c r="G599" s="13"/>
      <c r="H599" s="13"/>
      <c r="I599" s="13"/>
      <c r="J599" s="13"/>
      <c r="K599" s="4"/>
      <c r="L599" s="4"/>
      <c r="M599" s="4"/>
      <c r="Q599" s="4"/>
      <c r="R599" s="4"/>
      <c r="S599" s="4"/>
      <c r="T599" s="4"/>
      <c r="U599" s="4"/>
      <c r="V599" s="4"/>
      <c r="W599" s="4"/>
      <c r="X599" s="4"/>
    </row>
    <row r="600" spans="3:24">
      <c r="C600" s="4"/>
      <c r="D600" s="13"/>
      <c r="E600" s="13"/>
      <c r="F600" s="13"/>
      <c r="G600" s="13"/>
      <c r="H600" s="13"/>
      <c r="I600" s="13"/>
      <c r="J600" s="13"/>
      <c r="K600" s="4"/>
      <c r="L600" s="4"/>
      <c r="M600" s="4"/>
      <c r="Q600" s="4"/>
      <c r="R600" s="4"/>
      <c r="S600" s="4"/>
      <c r="T600" s="4"/>
      <c r="U600" s="4"/>
      <c r="V600" s="4"/>
      <c r="W600" s="4"/>
      <c r="X600" s="4"/>
    </row>
    <row r="601" spans="3:24">
      <c r="C601" s="4"/>
      <c r="D601" s="13"/>
      <c r="E601" s="13"/>
      <c r="F601" s="13"/>
      <c r="G601" s="13"/>
      <c r="H601" s="13"/>
      <c r="I601" s="13"/>
      <c r="J601" s="13"/>
      <c r="K601" s="4"/>
      <c r="L601" s="4"/>
      <c r="M601" s="4"/>
      <c r="Q601" s="4"/>
      <c r="R601" s="4"/>
      <c r="S601" s="4"/>
      <c r="T601" s="4"/>
      <c r="U601" s="4"/>
      <c r="V601" s="4"/>
      <c r="W601" s="4"/>
      <c r="X601" s="4"/>
    </row>
    <row r="602" spans="3:24">
      <c r="C602" s="4"/>
      <c r="D602" s="13"/>
      <c r="E602" s="13"/>
      <c r="F602" s="13"/>
      <c r="G602" s="13"/>
      <c r="H602" s="13"/>
      <c r="I602" s="13"/>
      <c r="J602" s="13"/>
      <c r="K602" s="4"/>
      <c r="L602" s="4"/>
      <c r="M602" s="4"/>
      <c r="Q602" s="4"/>
      <c r="R602" s="4"/>
      <c r="S602" s="4"/>
      <c r="T602" s="4"/>
      <c r="U602" s="4"/>
      <c r="V602" s="4"/>
      <c r="W602" s="4"/>
      <c r="X602" s="4"/>
    </row>
    <row r="603" spans="3:24">
      <c r="C603" s="4"/>
      <c r="D603" s="13"/>
      <c r="E603" s="13"/>
      <c r="F603" s="13"/>
      <c r="G603" s="13"/>
      <c r="H603" s="13"/>
      <c r="I603" s="13"/>
      <c r="J603" s="13"/>
      <c r="K603" s="4"/>
      <c r="L603" s="4"/>
      <c r="M603" s="4"/>
      <c r="Q603" s="4"/>
      <c r="R603" s="4"/>
      <c r="S603" s="4"/>
      <c r="T603" s="4"/>
      <c r="U603" s="4"/>
      <c r="V603" s="4"/>
      <c r="W603" s="4"/>
      <c r="X603" s="4"/>
    </row>
    <row r="604" spans="3:24">
      <c r="C604" s="4"/>
      <c r="D604" s="13"/>
      <c r="E604" s="13"/>
      <c r="F604" s="13"/>
      <c r="G604" s="13"/>
      <c r="H604" s="13"/>
      <c r="I604" s="13"/>
      <c r="J604" s="13"/>
      <c r="K604" s="4"/>
      <c r="L604" s="4"/>
      <c r="M604" s="4"/>
      <c r="Q604" s="4"/>
      <c r="R604" s="4"/>
      <c r="S604" s="4"/>
      <c r="T604" s="4"/>
      <c r="U604" s="4"/>
      <c r="V604" s="4"/>
      <c r="W604" s="4"/>
      <c r="X604" s="4"/>
    </row>
    <row r="605" spans="3:24">
      <c r="C605" s="4"/>
      <c r="D605" s="13"/>
      <c r="E605" s="13"/>
      <c r="F605" s="13"/>
      <c r="G605" s="13"/>
      <c r="H605" s="13"/>
      <c r="I605" s="13"/>
      <c r="J605" s="13"/>
      <c r="K605" s="4"/>
      <c r="L605" s="4"/>
      <c r="M605" s="4"/>
      <c r="Q605" s="4"/>
      <c r="R605" s="4"/>
      <c r="S605" s="4"/>
      <c r="T605" s="4"/>
      <c r="U605" s="4"/>
      <c r="V605" s="4"/>
      <c r="W605" s="4"/>
      <c r="X605" s="4"/>
    </row>
    <row r="606" spans="3:24">
      <c r="C606" s="4"/>
      <c r="D606" s="13"/>
      <c r="E606" s="13"/>
      <c r="F606" s="13"/>
      <c r="G606" s="13"/>
      <c r="H606" s="13"/>
      <c r="I606" s="13"/>
      <c r="J606" s="13"/>
      <c r="K606" s="4"/>
      <c r="L606" s="4"/>
      <c r="M606" s="4"/>
      <c r="Q606" s="4"/>
      <c r="R606" s="4"/>
      <c r="S606" s="4"/>
      <c r="T606" s="4"/>
      <c r="U606" s="4"/>
      <c r="V606" s="4"/>
      <c r="W606" s="4"/>
      <c r="X606" s="4"/>
    </row>
    <row r="607" spans="3:24">
      <c r="C607" s="4"/>
      <c r="D607" s="13"/>
      <c r="E607" s="13"/>
      <c r="F607" s="13"/>
      <c r="G607" s="13"/>
      <c r="H607" s="13"/>
      <c r="I607" s="13"/>
      <c r="J607" s="13"/>
      <c r="K607" s="4"/>
      <c r="L607" s="4"/>
      <c r="M607" s="4"/>
      <c r="Q607" s="4"/>
      <c r="R607" s="4"/>
      <c r="S607" s="4"/>
      <c r="T607" s="4"/>
      <c r="U607" s="4"/>
      <c r="V607" s="4"/>
      <c r="W607" s="4"/>
      <c r="X607" s="4"/>
    </row>
    <row r="608" spans="3:24">
      <c r="C608" s="4"/>
      <c r="D608" s="13"/>
      <c r="E608" s="13"/>
      <c r="F608" s="13"/>
      <c r="G608" s="13"/>
      <c r="H608" s="13"/>
      <c r="I608" s="13"/>
      <c r="J608" s="13"/>
      <c r="K608" s="4"/>
      <c r="L608" s="4"/>
      <c r="M608" s="4"/>
      <c r="Q608" s="4"/>
      <c r="R608" s="4"/>
      <c r="S608" s="4"/>
      <c r="T608" s="4"/>
      <c r="U608" s="4"/>
      <c r="V608" s="4"/>
      <c r="W608" s="4"/>
      <c r="X608" s="4"/>
    </row>
    <row r="609" spans="3:24">
      <c r="C609" s="4"/>
      <c r="D609" s="13"/>
      <c r="E609" s="13"/>
      <c r="F609" s="13"/>
      <c r="G609" s="13"/>
      <c r="H609" s="13"/>
      <c r="I609" s="13"/>
      <c r="J609" s="13"/>
      <c r="K609" s="4"/>
      <c r="L609" s="4"/>
      <c r="M609" s="4"/>
      <c r="Q609" s="4"/>
      <c r="R609" s="4"/>
      <c r="S609" s="4"/>
      <c r="T609" s="4"/>
      <c r="U609" s="4"/>
      <c r="V609" s="4"/>
      <c r="W609" s="4"/>
      <c r="X609" s="4"/>
    </row>
    <row r="610" spans="3:24">
      <c r="C610" s="4"/>
      <c r="D610" s="13"/>
      <c r="E610" s="13"/>
      <c r="F610" s="13"/>
      <c r="G610" s="13"/>
      <c r="H610" s="13"/>
      <c r="I610" s="13"/>
      <c r="J610" s="13"/>
      <c r="K610" s="4"/>
      <c r="L610" s="4"/>
      <c r="M610" s="4"/>
      <c r="Q610" s="4"/>
      <c r="R610" s="4"/>
      <c r="S610" s="4"/>
      <c r="T610" s="4"/>
      <c r="U610" s="4"/>
      <c r="V610" s="4"/>
      <c r="W610" s="4"/>
      <c r="X610" s="4"/>
    </row>
    <row r="611" spans="3:24">
      <c r="C611" s="4"/>
      <c r="D611" s="13"/>
      <c r="E611" s="13"/>
      <c r="F611" s="13"/>
      <c r="G611" s="13"/>
      <c r="H611" s="13"/>
      <c r="I611" s="13"/>
      <c r="J611" s="13"/>
      <c r="K611" s="4"/>
      <c r="L611" s="4"/>
      <c r="M611" s="4"/>
      <c r="Q611" s="4"/>
      <c r="R611" s="4"/>
      <c r="S611" s="4"/>
      <c r="T611" s="4"/>
      <c r="U611" s="4"/>
      <c r="V611" s="4"/>
      <c r="W611" s="4"/>
      <c r="X611" s="4"/>
    </row>
    <row r="612" spans="3:24">
      <c r="C612" s="4"/>
      <c r="D612" s="13"/>
      <c r="E612" s="13"/>
      <c r="F612" s="13"/>
      <c r="G612" s="13"/>
      <c r="H612" s="13"/>
      <c r="I612" s="13"/>
      <c r="J612" s="13"/>
      <c r="K612" s="4"/>
      <c r="L612" s="4"/>
      <c r="M612" s="4"/>
      <c r="Q612" s="4"/>
      <c r="R612" s="4"/>
      <c r="S612" s="4"/>
      <c r="T612" s="4"/>
      <c r="U612" s="4"/>
      <c r="V612" s="4"/>
      <c r="W612" s="4"/>
      <c r="X612" s="4"/>
    </row>
    <row r="613" spans="3:24">
      <c r="C613" s="4"/>
      <c r="D613" s="13"/>
      <c r="E613" s="13"/>
      <c r="F613" s="13"/>
      <c r="G613" s="13"/>
      <c r="H613" s="13"/>
      <c r="I613" s="13"/>
      <c r="J613" s="13"/>
      <c r="K613" s="4"/>
      <c r="L613" s="4"/>
      <c r="M613" s="4"/>
      <c r="Q613" s="4"/>
      <c r="R613" s="4"/>
      <c r="S613" s="4"/>
      <c r="T613" s="4"/>
      <c r="U613" s="4"/>
      <c r="V613" s="4"/>
      <c r="W613" s="4"/>
      <c r="X613" s="4"/>
    </row>
    <row r="614" spans="3:24">
      <c r="C614" s="4"/>
      <c r="D614" s="13"/>
      <c r="E614" s="13"/>
      <c r="F614" s="13"/>
      <c r="G614" s="13"/>
      <c r="H614" s="13"/>
      <c r="I614" s="13"/>
      <c r="J614" s="13"/>
      <c r="K614" s="4"/>
      <c r="L614" s="4"/>
      <c r="M614" s="4"/>
      <c r="Q614" s="4"/>
      <c r="R614" s="4"/>
      <c r="S614" s="4"/>
      <c r="T614" s="4"/>
      <c r="U614" s="4"/>
      <c r="V614" s="4"/>
      <c r="W614" s="4"/>
      <c r="X614" s="4"/>
    </row>
    <row r="615" spans="3:24">
      <c r="C615" s="4"/>
      <c r="D615" s="13"/>
      <c r="E615" s="13"/>
      <c r="F615" s="13"/>
      <c r="G615" s="13"/>
      <c r="H615" s="13"/>
      <c r="I615" s="13"/>
      <c r="J615" s="13"/>
      <c r="K615" s="4"/>
      <c r="L615" s="4"/>
      <c r="M615" s="4"/>
      <c r="Q615" s="4"/>
      <c r="R615" s="4"/>
      <c r="S615" s="4"/>
      <c r="T615" s="4"/>
      <c r="U615" s="4"/>
      <c r="V615" s="4"/>
      <c r="W615" s="4"/>
      <c r="X615" s="4"/>
    </row>
    <row r="616" spans="3:24">
      <c r="C616" s="4"/>
      <c r="D616" s="13"/>
      <c r="E616" s="13"/>
      <c r="F616" s="13"/>
      <c r="G616" s="13"/>
      <c r="H616" s="13"/>
      <c r="I616" s="13"/>
      <c r="J616" s="13"/>
      <c r="K616" s="4"/>
      <c r="L616" s="4"/>
      <c r="M616" s="4"/>
      <c r="Q616" s="4"/>
      <c r="R616" s="4"/>
      <c r="S616" s="4"/>
      <c r="T616" s="4"/>
      <c r="U616" s="4"/>
      <c r="V616" s="4"/>
      <c r="W616" s="4"/>
      <c r="X616" s="4"/>
    </row>
    <row r="617" spans="3:24">
      <c r="C617" s="4"/>
      <c r="D617" s="13"/>
      <c r="E617" s="13"/>
      <c r="F617" s="13"/>
      <c r="G617" s="13"/>
      <c r="H617" s="13"/>
      <c r="I617" s="13"/>
      <c r="J617" s="13"/>
      <c r="K617" s="4"/>
      <c r="L617" s="4"/>
      <c r="M617" s="4"/>
      <c r="Q617" s="4"/>
      <c r="R617" s="4"/>
      <c r="S617" s="4"/>
      <c r="T617" s="4"/>
      <c r="U617" s="4"/>
      <c r="V617" s="4"/>
      <c r="W617" s="4"/>
      <c r="X617" s="4"/>
    </row>
    <row r="618" spans="3:24">
      <c r="C618" s="4"/>
      <c r="D618" s="13"/>
      <c r="E618" s="13"/>
      <c r="F618" s="13"/>
      <c r="G618" s="13"/>
      <c r="H618" s="13"/>
      <c r="I618" s="13"/>
      <c r="J618" s="13"/>
      <c r="K618" s="4"/>
      <c r="L618" s="4"/>
      <c r="M618" s="4"/>
      <c r="Q618" s="4"/>
      <c r="R618" s="4"/>
      <c r="S618" s="4"/>
      <c r="T618" s="4"/>
      <c r="U618" s="4"/>
      <c r="V618" s="4"/>
      <c r="W618" s="4"/>
      <c r="X618" s="4"/>
    </row>
    <row r="619" spans="3:24">
      <c r="C619" s="4"/>
      <c r="D619" s="13"/>
      <c r="E619" s="13"/>
      <c r="F619" s="13"/>
      <c r="G619" s="13"/>
      <c r="H619" s="13"/>
      <c r="I619" s="13"/>
      <c r="J619" s="13"/>
      <c r="K619" s="4"/>
      <c r="L619" s="4"/>
      <c r="M619" s="4"/>
      <c r="Q619" s="4"/>
      <c r="R619" s="4"/>
      <c r="S619" s="4"/>
      <c r="T619" s="4"/>
      <c r="U619" s="4"/>
      <c r="V619" s="4"/>
      <c r="W619" s="4"/>
      <c r="X619" s="4"/>
    </row>
    <row r="620" spans="3:24">
      <c r="C620" s="4"/>
      <c r="D620" s="13"/>
      <c r="E620" s="13"/>
      <c r="F620" s="13"/>
      <c r="G620" s="13"/>
      <c r="H620" s="13"/>
      <c r="I620" s="13"/>
      <c r="J620" s="13"/>
      <c r="K620" s="4"/>
      <c r="L620" s="4"/>
      <c r="M620" s="4"/>
      <c r="Q620" s="4"/>
      <c r="R620" s="4"/>
      <c r="S620" s="4"/>
      <c r="T620" s="4"/>
      <c r="U620" s="4"/>
      <c r="V620" s="4"/>
      <c r="W620" s="4"/>
      <c r="X620" s="4"/>
    </row>
    <row r="621" spans="3:24">
      <c r="C621" s="4"/>
      <c r="D621" s="13"/>
      <c r="E621" s="13"/>
      <c r="F621" s="13"/>
      <c r="G621" s="13"/>
      <c r="H621" s="13"/>
      <c r="I621" s="13"/>
      <c r="J621" s="13"/>
      <c r="K621" s="4"/>
      <c r="L621" s="4"/>
      <c r="M621" s="4"/>
      <c r="Q621" s="4"/>
      <c r="R621" s="4"/>
      <c r="S621" s="4"/>
      <c r="T621" s="4"/>
      <c r="U621" s="4"/>
      <c r="V621" s="4"/>
      <c r="W621" s="4"/>
      <c r="X621" s="4"/>
    </row>
    <row r="622" spans="3:24">
      <c r="C622" s="4"/>
      <c r="D622" s="13"/>
      <c r="E622" s="13"/>
      <c r="F622" s="13"/>
      <c r="G622" s="13"/>
      <c r="H622" s="13"/>
      <c r="I622" s="13"/>
      <c r="J622" s="13"/>
      <c r="K622" s="4"/>
      <c r="L622" s="4"/>
      <c r="M622" s="4"/>
      <c r="Q622" s="4"/>
      <c r="R622" s="4"/>
      <c r="S622" s="4"/>
      <c r="T622" s="4"/>
      <c r="U622" s="4"/>
      <c r="V622" s="4"/>
      <c r="W622" s="4"/>
      <c r="X622" s="4"/>
    </row>
    <row r="623" spans="3:24">
      <c r="C623" s="4"/>
      <c r="D623" s="13"/>
      <c r="E623" s="13"/>
      <c r="F623" s="13"/>
      <c r="G623" s="13"/>
      <c r="H623" s="13"/>
      <c r="I623" s="13"/>
      <c r="J623" s="13"/>
      <c r="K623" s="4"/>
      <c r="L623" s="4"/>
      <c r="M623" s="4"/>
      <c r="Q623" s="4"/>
      <c r="R623" s="4"/>
      <c r="S623" s="4"/>
      <c r="T623" s="4"/>
      <c r="U623" s="4"/>
      <c r="V623" s="4"/>
      <c r="W623" s="4"/>
      <c r="X623" s="4"/>
    </row>
    <row r="624" spans="3:24">
      <c r="C624" s="4"/>
      <c r="D624" s="13"/>
      <c r="E624" s="13"/>
      <c r="F624" s="13"/>
      <c r="G624" s="13"/>
      <c r="H624" s="13"/>
      <c r="I624" s="13"/>
      <c r="J624" s="13"/>
      <c r="K624" s="4"/>
      <c r="L624" s="4"/>
      <c r="M624" s="4"/>
      <c r="Q624" s="4"/>
      <c r="R624" s="4"/>
      <c r="S624" s="4"/>
      <c r="T624" s="4"/>
      <c r="U624" s="4"/>
      <c r="V624" s="4"/>
      <c r="W624" s="4"/>
      <c r="X624" s="4"/>
    </row>
    <row r="625" spans="3:24">
      <c r="C625" s="4"/>
      <c r="D625" s="13"/>
      <c r="E625" s="13"/>
      <c r="F625" s="13"/>
      <c r="G625" s="13"/>
      <c r="H625" s="13"/>
      <c r="I625" s="13"/>
      <c r="J625" s="13"/>
      <c r="K625" s="4"/>
      <c r="L625" s="4"/>
      <c r="M625" s="4"/>
      <c r="Q625" s="4"/>
      <c r="R625" s="4"/>
      <c r="S625" s="4"/>
      <c r="T625" s="4"/>
      <c r="U625" s="4"/>
      <c r="V625" s="4"/>
      <c r="W625" s="4"/>
      <c r="X625" s="4"/>
    </row>
    <row r="626" spans="3:24">
      <c r="C626" s="4"/>
      <c r="D626" s="13"/>
      <c r="E626" s="13"/>
      <c r="F626" s="13"/>
      <c r="G626" s="13"/>
      <c r="H626" s="13"/>
      <c r="I626" s="13"/>
      <c r="J626" s="13"/>
      <c r="K626" s="4"/>
      <c r="L626" s="4"/>
      <c r="M626" s="4"/>
      <c r="Q626" s="4"/>
      <c r="R626" s="4"/>
      <c r="S626" s="4"/>
      <c r="T626" s="4"/>
      <c r="U626" s="4"/>
      <c r="V626" s="4"/>
      <c r="W626" s="4"/>
      <c r="X626" s="4"/>
    </row>
    <row r="627" spans="3:24">
      <c r="C627" s="4"/>
      <c r="D627" s="13"/>
      <c r="E627" s="13"/>
      <c r="F627" s="13"/>
      <c r="G627" s="13"/>
      <c r="H627" s="13"/>
      <c r="I627" s="13"/>
      <c r="J627" s="13"/>
      <c r="K627" s="4"/>
      <c r="L627" s="4"/>
      <c r="M627" s="4"/>
      <c r="Q627" s="4"/>
      <c r="R627" s="4"/>
      <c r="S627" s="4"/>
      <c r="T627" s="4"/>
      <c r="U627" s="4"/>
      <c r="V627" s="4"/>
      <c r="W627" s="4"/>
      <c r="X627" s="4"/>
    </row>
    <row r="628" spans="3:24">
      <c r="C628" s="4"/>
      <c r="D628" s="13"/>
      <c r="E628" s="13"/>
      <c r="F628" s="13"/>
      <c r="G628" s="13"/>
      <c r="H628" s="13"/>
      <c r="I628" s="13"/>
      <c r="J628" s="13"/>
      <c r="K628" s="4"/>
      <c r="L628" s="4"/>
      <c r="M628" s="4"/>
      <c r="Q628" s="4"/>
      <c r="R628" s="4"/>
      <c r="S628" s="4"/>
      <c r="T628" s="4"/>
      <c r="U628" s="4"/>
      <c r="V628" s="4"/>
      <c r="W628" s="4"/>
      <c r="X628" s="4"/>
    </row>
    <row r="629" spans="3:24">
      <c r="C629" s="4"/>
      <c r="D629" s="13"/>
      <c r="E629" s="13"/>
      <c r="F629" s="13"/>
      <c r="G629" s="13"/>
      <c r="H629" s="13"/>
      <c r="I629" s="13"/>
      <c r="J629" s="13"/>
      <c r="K629" s="4"/>
      <c r="L629" s="4"/>
      <c r="M629" s="4"/>
      <c r="Q629" s="4"/>
      <c r="R629" s="4"/>
      <c r="S629" s="4"/>
      <c r="T629" s="4"/>
      <c r="U629" s="4"/>
      <c r="V629" s="4"/>
      <c r="W629" s="4"/>
      <c r="X629" s="4"/>
    </row>
    <row r="630" spans="3:24">
      <c r="C630" s="4"/>
      <c r="D630" s="13"/>
      <c r="E630" s="13"/>
      <c r="F630" s="13"/>
      <c r="G630" s="13"/>
      <c r="H630" s="13"/>
      <c r="I630" s="13"/>
      <c r="J630" s="13"/>
      <c r="K630" s="4"/>
      <c r="L630" s="4"/>
      <c r="M630" s="4"/>
      <c r="Q630" s="4"/>
      <c r="R630" s="4"/>
      <c r="S630" s="4"/>
      <c r="T630" s="4"/>
      <c r="U630" s="4"/>
      <c r="V630" s="4"/>
      <c r="W630" s="4"/>
      <c r="X630" s="4"/>
    </row>
    <row r="631" spans="3:24">
      <c r="C631" s="4"/>
      <c r="D631" s="13"/>
      <c r="E631" s="13"/>
      <c r="F631" s="13"/>
      <c r="G631" s="13"/>
      <c r="H631" s="13"/>
      <c r="I631" s="13"/>
      <c r="J631" s="13"/>
      <c r="K631" s="4"/>
      <c r="L631" s="4"/>
      <c r="M631" s="4"/>
      <c r="Q631" s="4"/>
      <c r="R631" s="4"/>
      <c r="S631" s="4"/>
      <c r="T631" s="4"/>
      <c r="U631" s="4"/>
      <c r="V631" s="4"/>
      <c r="W631" s="4"/>
      <c r="X631" s="4"/>
    </row>
    <row r="632" spans="3:24">
      <c r="C632" s="4"/>
      <c r="D632" s="13"/>
      <c r="E632" s="13"/>
      <c r="F632" s="13"/>
      <c r="G632" s="13"/>
      <c r="H632" s="13"/>
      <c r="I632" s="13"/>
      <c r="J632" s="13"/>
      <c r="K632" s="4"/>
      <c r="L632" s="4"/>
      <c r="M632" s="4"/>
      <c r="Q632" s="4"/>
      <c r="R632" s="4"/>
      <c r="S632" s="4"/>
      <c r="T632" s="4"/>
      <c r="U632" s="4"/>
      <c r="V632" s="4"/>
      <c r="W632" s="4"/>
      <c r="X632" s="4"/>
    </row>
    <row r="633" spans="3:24">
      <c r="C633" s="4"/>
      <c r="D633" s="13"/>
      <c r="E633" s="13"/>
      <c r="F633" s="13"/>
      <c r="G633" s="13"/>
      <c r="H633" s="13"/>
      <c r="I633" s="13"/>
      <c r="J633" s="13"/>
      <c r="K633" s="4"/>
      <c r="L633" s="4"/>
      <c r="M633" s="4"/>
      <c r="Q633" s="4"/>
      <c r="R633" s="4"/>
      <c r="S633" s="4"/>
      <c r="T633" s="4"/>
      <c r="U633" s="4"/>
      <c r="V633" s="4"/>
      <c r="W633" s="4"/>
      <c r="X633" s="4"/>
    </row>
    <row r="634" spans="3:24">
      <c r="C634" s="4"/>
      <c r="D634" s="13"/>
      <c r="E634" s="13"/>
      <c r="F634" s="13"/>
      <c r="G634" s="13"/>
      <c r="H634" s="13"/>
      <c r="I634" s="13"/>
      <c r="J634" s="13"/>
      <c r="K634" s="4"/>
      <c r="L634" s="4"/>
      <c r="M634" s="4"/>
      <c r="Q634" s="4"/>
      <c r="R634" s="4"/>
      <c r="S634" s="4"/>
      <c r="T634" s="4"/>
      <c r="U634" s="4"/>
      <c r="V634" s="4"/>
      <c r="W634" s="4"/>
      <c r="X634" s="4"/>
    </row>
    <row r="635" spans="3:24">
      <c r="C635" s="4"/>
      <c r="D635" s="13"/>
      <c r="E635" s="13"/>
      <c r="F635" s="13"/>
      <c r="G635" s="13"/>
      <c r="H635" s="13"/>
      <c r="I635" s="13"/>
      <c r="J635" s="13"/>
      <c r="K635" s="4"/>
      <c r="L635" s="4"/>
      <c r="M635" s="4"/>
      <c r="Q635" s="4"/>
      <c r="R635" s="4"/>
      <c r="S635" s="4"/>
      <c r="T635" s="4"/>
      <c r="U635" s="4"/>
      <c r="V635" s="4"/>
      <c r="W635" s="4"/>
      <c r="X635" s="4"/>
    </row>
    <row r="636" spans="3:24">
      <c r="C636" s="4"/>
      <c r="D636" s="13"/>
      <c r="E636" s="13"/>
      <c r="F636" s="13"/>
      <c r="G636" s="13"/>
      <c r="H636" s="13"/>
      <c r="I636" s="13"/>
      <c r="J636" s="13"/>
      <c r="K636" s="4"/>
      <c r="L636" s="4"/>
      <c r="M636" s="4"/>
      <c r="Q636" s="4"/>
      <c r="R636" s="4"/>
      <c r="S636" s="4"/>
      <c r="T636" s="4"/>
      <c r="U636" s="4"/>
      <c r="V636" s="4"/>
      <c r="W636" s="4"/>
      <c r="X636" s="4"/>
    </row>
    <row r="637" spans="3:24">
      <c r="C637" s="4"/>
      <c r="D637" s="13"/>
      <c r="E637" s="13"/>
      <c r="F637" s="13"/>
      <c r="G637" s="13"/>
      <c r="H637" s="13"/>
      <c r="I637" s="13"/>
      <c r="J637" s="13"/>
      <c r="K637" s="4"/>
      <c r="L637" s="4"/>
      <c r="M637" s="4"/>
      <c r="Q637" s="4"/>
      <c r="R637" s="4"/>
      <c r="S637" s="4"/>
      <c r="T637" s="4"/>
      <c r="U637" s="4"/>
      <c r="V637" s="4"/>
      <c r="W637" s="4"/>
      <c r="X637" s="4"/>
    </row>
    <row r="638" spans="3:24">
      <c r="C638" s="4"/>
      <c r="D638" s="13"/>
      <c r="E638" s="13"/>
      <c r="F638" s="13"/>
      <c r="G638" s="13"/>
      <c r="H638" s="13"/>
      <c r="I638" s="13"/>
      <c r="J638" s="13"/>
      <c r="K638" s="4"/>
      <c r="L638" s="4"/>
      <c r="M638" s="4"/>
      <c r="Q638" s="4"/>
      <c r="R638" s="4"/>
      <c r="S638" s="4"/>
      <c r="T638" s="4"/>
      <c r="U638" s="4"/>
      <c r="V638" s="4"/>
      <c r="W638" s="4"/>
      <c r="X638" s="4"/>
    </row>
    <row r="639" spans="3:24">
      <c r="C639" s="4"/>
      <c r="D639" s="13"/>
      <c r="E639" s="13"/>
      <c r="F639" s="13"/>
      <c r="G639" s="13"/>
      <c r="H639" s="13"/>
      <c r="I639" s="13"/>
      <c r="J639" s="13"/>
      <c r="K639" s="4"/>
      <c r="L639" s="4"/>
      <c r="M639" s="4"/>
      <c r="Q639" s="4"/>
      <c r="R639" s="4"/>
      <c r="S639" s="4"/>
      <c r="T639" s="4"/>
      <c r="U639" s="4"/>
      <c r="V639" s="4"/>
      <c r="W639" s="4"/>
      <c r="X639" s="4"/>
    </row>
    <row r="640" spans="3:24">
      <c r="C640" s="4"/>
      <c r="D640" s="13"/>
      <c r="E640" s="13"/>
      <c r="F640" s="13"/>
      <c r="G640" s="13"/>
      <c r="H640" s="13"/>
      <c r="I640" s="13"/>
      <c r="J640" s="13"/>
      <c r="K640" s="4"/>
      <c r="L640" s="4"/>
      <c r="M640" s="4"/>
      <c r="Q640" s="4"/>
      <c r="R640" s="4"/>
      <c r="S640" s="4"/>
      <c r="T640" s="4"/>
      <c r="U640" s="4"/>
      <c r="V640" s="4"/>
      <c r="W640" s="4"/>
      <c r="X640" s="4"/>
    </row>
    <row r="641" spans="3:24">
      <c r="C641" s="4"/>
      <c r="D641" s="13"/>
      <c r="E641" s="13"/>
      <c r="F641" s="13"/>
      <c r="G641" s="13"/>
      <c r="H641" s="13"/>
      <c r="I641" s="13"/>
      <c r="J641" s="13"/>
      <c r="K641" s="4"/>
      <c r="L641" s="4"/>
      <c r="M641" s="4"/>
      <c r="Q641" s="4"/>
      <c r="R641" s="4"/>
      <c r="S641" s="4"/>
      <c r="T641" s="4"/>
      <c r="U641" s="4"/>
      <c r="V641" s="4"/>
      <c r="W641" s="4"/>
      <c r="X641" s="4"/>
    </row>
    <row r="642" spans="3:24">
      <c r="C642" s="4"/>
      <c r="D642" s="13"/>
      <c r="E642" s="13"/>
      <c r="F642" s="13"/>
      <c r="G642" s="13"/>
      <c r="H642" s="13"/>
      <c r="I642" s="13"/>
      <c r="J642" s="13"/>
      <c r="K642" s="4"/>
      <c r="L642" s="4"/>
      <c r="M642" s="4"/>
      <c r="Q642" s="4"/>
      <c r="R642" s="4"/>
      <c r="S642" s="4"/>
      <c r="T642" s="4"/>
      <c r="U642" s="4"/>
      <c r="V642" s="4"/>
      <c r="W642" s="4"/>
      <c r="X642" s="4"/>
    </row>
    <row r="643" spans="3:24">
      <c r="C643" s="4"/>
      <c r="D643" s="13"/>
      <c r="E643" s="13"/>
      <c r="F643" s="13"/>
      <c r="G643" s="13"/>
      <c r="H643" s="13"/>
      <c r="I643" s="13"/>
      <c r="J643" s="13"/>
      <c r="K643" s="4"/>
      <c r="L643" s="4"/>
      <c r="M643" s="4"/>
      <c r="Q643" s="4"/>
      <c r="R643" s="4"/>
      <c r="S643" s="4"/>
      <c r="T643" s="4"/>
      <c r="U643" s="4"/>
      <c r="V643" s="4"/>
      <c r="W643" s="4"/>
      <c r="X643" s="4"/>
    </row>
    <row r="644" spans="3:24">
      <c r="C644" s="4"/>
      <c r="D644" s="13"/>
      <c r="E644" s="13"/>
      <c r="F644" s="13"/>
      <c r="G644" s="13"/>
      <c r="H644" s="13"/>
      <c r="I644" s="13"/>
      <c r="J644" s="13"/>
      <c r="K644" s="4"/>
      <c r="L644" s="4"/>
      <c r="M644" s="4"/>
      <c r="Q644" s="4"/>
      <c r="R644" s="4"/>
      <c r="S644" s="4"/>
      <c r="T644" s="4"/>
      <c r="U644" s="4"/>
      <c r="V644" s="4"/>
      <c r="W644" s="4"/>
      <c r="X644" s="4"/>
    </row>
    <row r="645" spans="3:24">
      <c r="C645" s="4"/>
      <c r="D645" s="13"/>
      <c r="E645" s="13"/>
      <c r="F645" s="13"/>
      <c r="G645" s="13"/>
      <c r="H645" s="13"/>
      <c r="I645" s="13"/>
      <c r="J645" s="13"/>
      <c r="K645" s="4"/>
      <c r="L645" s="4"/>
      <c r="M645" s="4"/>
      <c r="Q645" s="4"/>
      <c r="R645" s="4"/>
      <c r="S645" s="4"/>
      <c r="T645" s="4"/>
      <c r="U645" s="4"/>
      <c r="V645" s="4"/>
      <c r="W645" s="4"/>
      <c r="X645" s="4"/>
    </row>
    <row r="646" spans="3:24">
      <c r="C646" s="4"/>
      <c r="D646" s="13"/>
      <c r="E646" s="13"/>
      <c r="F646" s="13"/>
      <c r="G646" s="13"/>
      <c r="H646" s="13"/>
      <c r="I646" s="13"/>
      <c r="J646" s="13"/>
      <c r="K646" s="4"/>
      <c r="L646" s="4"/>
      <c r="M646" s="4"/>
      <c r="Q646" s="4"/>
      <c r="R646" s="4"/>
      <c r="S646" s="4"/>
      <c r="T646" s="4"/>
      <c r="U646" s="4"/>
      <c r="V646" s="4"/>
      <c r="W646" s="4"/>
      <c r="X646" s="4"/>
    </row>
    <row r="647" spans="3:24">
      <c r="C647" s="4"/>
      <c r="D647" s="13"/>
      <c r="E647" s="13"/>
      <c r="F647" s="13"/>
      <c r="G647" s="13"/>
      <c r="H647" s="13"/>
      <c r="I647" s="13"/>
      <c r="J647" s="13"/>
      <c r="K647" s="4"/>
      <c r="L647" s="4"/>
      <c r="M647" s="4"/>
      <c r="Q647" s="4"/>
      <c r="R647" s="4"/>
      <c r="S647" s="4"/>
      <c r="T647" s="4"/>
      <c r="U647" s="4"/>
      <c r="V647" s="4"/>
      <c r="W647" s="4"/>
      <c r="X647" s="4"/>
    </row>
    <row r="648" spans="3:24">
      <c r="C648" s="4"/>
      <c r="D648" s="13"/>
      <c r="E648" s="13"/>
      <c r="F648" s="13"/>
      <c r="G648" s="13"/>
      <c r="H648" s="13"/>
      <c r="I648" s="13"/>
      <c r="J648" s="13"/>
      <c r="K648" s="4"/>
      <c r="L648" s="4"/>
      <c r="M648" s="4"/>
      <c r="Q648" s="4"/>
      <c r="R648" s="4"/>
      <c r="S648" s="4"/>
      <c r="T648" s="4"/>
      <c r="U648" s="4"/>
      <c r="V648" s="4"/>
      <c r="W648" s="4"/>
      <c r="X648" s="4"/>
    </row>
    <row r="649" spans="3:24">
      <c r="C649" s="4"/>
      <c r="D649" s="13"/>
      <c r="E649" s="13"/>
      <c r="F649" s="13"/>
      <c r="G649" s="13"/>
      <c r="H649" s="13"/>
      <c r="I649" s="13"/>
      <c r="J649" s="13"/>
      <c r="K649" s="4"/>
      <c r="L649" s="4"/>
      <c r="M649" s="4"/>
      <c r="Q649" s="4"/>
      <c r="R649" s="4"/>
      <c r="S649" s="4"/>
      <c r="T649" s="4"/>
      <c r="U649" s="4"/>
      <c r="V649" s="4"/>
      <c r="W649" s="4"/>
      <c r="X649" s="4"/>
    </row>
    <row r="650" spans="3:24">
      <c r="C650" s="4"/>
      <c r="D650" s="13"/>
      <c r="E650" s="13"/>
      <c r="F650" s="13"/>
      <c r="G650" s="13"/>
      <c r="H650" s="13"/>
      <c r="I650" s="13"/>
      <c r="J650" s="13"/>
      <c r="K650" s="4"/>
      <c r="L650" s="4"/>
      <c r="M650" s="4"/>
      <c r="Q650" s="4"/>
      <c r="R650" s="4"/>
      <c r="S650" s="4"/>
      <c r="T650" s="4"/>
      <c r="U650" s="4"/>
      <c r="V650" s="4"/>
      <c r="W650" s="4"/>
      <c r="X650" s="4"/>
    </row>
    <row r="651" spans="3:24">
      <c r="C651" s="4"/>
      <c r="D651" s="13"/>
      <c r="E651" s="13"/>
      <c r="F651" s="13"/>
      <c r="G651" s="13"/>
      <c r="H651" s="13"/>
      <c r="I651" s="13"/>
      <c r="J651" s="13"/>
      <c r="K651" s="4"/>
      <c r="L651" s="4"/>
      <c r="M651" s="4"/>
      <c r="Q651" s="4"/>
      <c r="R651" s="4"/>
      <c r="S651" s="4"/>
      <c r="T651" s="4"/>
      <c r="U651" s="4"/>
      <c r="V651" s="4"/>
      <c r="W651" s="4"/>
      <c r="X651" s="4"/>
    </row>
    <row r="652" spans="3:24">
      <c r="C652" s="4"/>
      <c r="D652" s="13"/>
      <c r="E652" s="13"/>
      <c r="F652" s="13"/>
      <c r="G652" s="13"/>
      <c r="H652" s="13"/>
      <c r="I652" s="13"/>
      <c r="J652" s="13"/>
      <c r="K652" s="4"/>
      <c r="L652" s="4"/>
      <c r="M652" s="4"/>
      <c r="Q652" s="4"/>
      <c r="R652" s="4"/>
      <c r="S652" s="4"/>
      <c r="T652" s="4"/>
      <c r="U652" s="4"/>
      <c r="V652" s="4"/>
      <c r="W652" s="4"/>
      <c r="X652" s="4"/>
    </row>
    <row r="653" spans="3:24">
      <c r="C653" s="4"/>
      <c r="D653" s="13"/>
      <c r="E653" s="13"/>
      <c r="F653" s="13"/>
      <c r="G653" s="13"/>
      <c r="H653" s="13"/>
      <c r="I653" s="13"/>
      <c r="J653" s="13"/>
      <c r="K653" s="4"/>
      <c r="L653" s="4"/>
      <c r="M653" s="4"/>
      <c r="Q653" s="4"/>
      <c r="R653" s="4"/>
      <c r="S653" s="4"/>
      <c r="T653" s="4"/>
      <c r="U653" s="4"/>
      <c r="V653" s="4"/>
      <c r="W653" s="4"/>
      <c r="X653" s="4"/>
    </row>
    <row r="654" spans="3:24">
      <c r="C654" s="4"/>
      <c r="D654" s="13"/>
      <c r="E654" s="13"/>
      <c r="F654" s="13"/>
      <c r="G654" s="13"/>
      <c r="H654" s="13"/>
      <c r="I654" s="13"/>
      <c r="J654" s="13"/>
      <c r="K654" s="4"/>
      <c r="L654" s="4"/>
      <c r="M654" s="4"/>
      <c r="Q654" s="4"/>
      <c r="R654" s="4"/>
      <c r="S654" s="4"/>
      <c r="T654" s="4"/>
      <c r="U654" s="4"/>
      <c r="V654" s="4"/>
      <c r="W654" s="4"/>
      <c r="X654" s="4"/>
    </row>
    <row r="655" spans="3:24">
      <c r="C655" s="4"/>
      <c r="D655" s="13"/>
      <c r="E655" s="13"/>
      <c r="F655" s="13"/>
      <c r="G655" s="13"/>
      <c r="H655" s="13"/>
      <c r="I655" s="13"/>
      <c r="J655" s="13"/>
      <c r="K655" s="4"/>
      <c r="L655" s="4"/>
      <c r="M655" s="4"/>
      <c r="Q655" s="4"/>
      <c r="R655" s="4"/>
      <c r="S655" s="4"/>
      <c r="T655" s="4"/>
      <c r="U655" s="4"/>
      <c r="V655" s="4"/>
      <c r="W655" s="4"/>
      <c r="X655" s="4"/>
    </row>
    <row r="656" spans="3:24">
      <c r="C656" s="4"/>
      <c r="D656" s="13"/>
      <c r="E656" s="13"/>
      <c r="F656" s="13"/>
      <c r="G656" s="13"/>
      <c r="H656" s="13"/>
      <c r="I656" s="13"/>
      <c r="J656" s="13"/>
      <c r="K656" s="4"/>
      <c r="L656" s="4"/>
      <c r="M656" s="4"/>
      <c r="Q656" s="4"/>
      <c r="R656" s="4"/>
      <c r="S656" s="4"/>
      <c r="T656" s="4"/>
      <c r="U656" s="4"/>
      <c r="V656" s="4"/>
      <c r="W656" s="4"/>
      <c r="X656" s="4"/>
    </row>
    <row r="657" spans="3:24">
      <c r="C657" s="4"/>
      <c r="D657" s="13"/>
      <c r="E657" s="13"/>
      <c r="F657" s="13"/>
      <c r="G657" s="13"/>
      <c r="H657" s="13"/>
      <c r="I657" s="13"/>
      <c r="J657" s="13"/>
      <c r="K657" s="4"/>
      <c r="L657" s="4"/>
      <c r="M657" s="4"/>
      <c r="Q657" s="4"/>
      <c r="R657" s="4"/>
      <c r="S657" s="4"/>
      <c r="T657" s="4"/>
      <c r="U657" s="4"/>
      <c r="V657" s="4"/>
      <c r="W657" s="4"/>
      <c r="X657" s="4"/>
    </row>
    <row r="658" spans="3:24">
      <c r="C658" s="4"/>
      <c r="D658" s="13"/>
      <c r="E658" s="13"/>
      <c r="F658" s="13"/>
      <c r="G658" s="13"/>
      <c r="H658" s="13"/>
      <c r="I658" s="13"/>
      <c r="J658" s="13"/>
      <c r="K658" s="4"/>
      <c r="L658" s="4"/>
      <c r="M658" s="4"/>
      <c r="Q658" s="4"/>
      <c r="R658" s="4"/>
      <c r="S658" s="4"/>
      <c r="T658" s="4"/>
      <c r="U658" s="4"/>
      <c r="V658" s="4"/>
      <c r="W658" s="4"/>
      <c r="X658" s="4"/>
    </row>
    <row r="659" spans="3:24">
      <c r="C659" s="4"/>
      <c r="D659" s="13"/>
      <c r="E659" s="13"/>
      <c r="F659" s="13"/>
      <c r="G659" s="13"/>
      <c r="H659" s="13"/>
      <c r="I659" s="13"/>
      <c r="J659" s="13"/>
      <c r="K659" s="4"/>
      <c r="L659" s="4"/>
      <c r="M659" s="4"/>
      <c r="Q659" s="4"/>
      <c r="R659" s="4"/>
      <c r="S659" s="4"/>
      <c r="T659" s="4"/>
      <c r="U659" s="4"/>
      <c r="V659" s="4"/>
      <c r="W659" s="4"/>
      <c r="X659" s="4"/>
    </row>
    <row r="660" spans="3:24">
      <c r="C660" s="4"/>
      <c r="D660" s="13"/>
      <c r="E660" s="13"/>
      <c r="F660" s="13"/>
      <c r="G660" s="13"/>
      <c r="H660" s="13"/>
      <c r="I660" s="13"/>
      <c r="J660" s="13"/>
      <c r="K660" s="4"/>
      <c r="L660" s="4"/>
      <c r="M660" s="4"/>
      <c r="Q660" s="4"/>
      <c r="R660" s="4"/>
      <c r="S660" s="4"/>
      <c r="T660" s="4"/>
      <c r="U660" s="4"/>
      <c r="V660" s="4"/>
      <c r="W660" s="4"/>
      <c r="X660" s="4"/>
    </row>
    <row r="661" spans="3:24">
      <c r="C661" s="4"/>
      <c r="D661" s="13"/>
      <c r="E661" s="13"/>
      <c r="F661" s="13"/>
      <c r="G661" s="13"/>
      <c r="H661" s="13"/>
      <c r="I661" s="13"/>
      <c r="J661" s="13"/>
      <c r="K661" s="4"/>
      <c r="L661" s="4"/>
      <c r="M661" s="4"/>
      <c r="Q661" s="4"/>
      <c r="R661" s="4"/>
      <c r="S661" s="4"/>
      <c r="T661" s="4"/>
      <c r="U661" s="4"/>
      <c r="V661" s="4"/>
      <c r="W661" s="4"/>
      <c r="X661" s="4"/>
    </row>
    <row r="662" spans="3:24">
      <c r="C662" s="4"/>
      <c r="D662" s="13"/>
      <c r="E662" s="13"/>
      <c r="F662" s="13"/>
      <c r="G662" s="13"/>
      <c r="H662" s="13"/>
      <c r="I662" s="13"/>
      <c r="J662" s="13"/>
      <c r="K662" s="4"/>
      <c r="L662" s="4"/>
      <c r="M662" s="4"/>
      <c r="Q662" s="4"/>
      <c r="R662" s="4"/>
      <c r="S662" s="4"/>
      <c r="T662" s="4"/>
      <c r="U662" s="4"/>
      <c r="V662" s="4"/>
      <c r="W662" s="4"/>
      <c r="X662" s="4"/>
    </row>
    <row r="663" spans="3:24">
      <c r="C663" s="4"/>
      <c r="D663" s="13"/>
      <c r="E663" s="13"/>
      <c r="F663" s="13"/>
      <c r="G663" s="13"/>
      <c r="H663" s="13"/>
      <c r="I663" s="13"/>
      <c r="J663" s="13"/>
      <c r="K663" s="4"/>
      <c r="L663" s="4"/>
      <c r="M663" s="4"/>
      <c r="Q663" s="4"/>
      <c r="R663" s="4"/>
      <c r="S663" s="4"/>
      <c r="T663" s="4"/>
      <c r="U663" s="4"/>
      <c r="V663" s="4"/>
      <c r="W663" s="4"/>
      <c r="X663" s="4"/>
    </row>
    <row r="664" spans="3:24">
      <c r="C664" s="4"/>
      <c r="D664" s="13"/>
      <c r="E664" s="13"/>
      <c r="F664" s="13"/>
      <c r="G664" s="13"/>
      <c r="H664" s="13"/>
      <c r="I664" s="13"/>
      <c r="J664" s="13"/>
      <c r="K664" s="4"/>
      <c r="L664" s="4"/>
      <c r="M664" s="4"/>
      <c r="Q664" s="4"/>
      <c r="R664" s="4"/>
      <c r="S664" s="4"/>
      <c r="T664" s="4"/>
      <c r="U664" s="4"/>
      <c r="V664" s="4"/>
      <c r="W664" s="4"/>
      <c r="X664" s="4"/>
    </row>
    <row r="665" spans="3:24">
      <c r="C665" s="4"/>
      <c r="D665" s="13"/>
      <c r="E665" s="13"/>
      <c r="F665" s="13"/>
      <c r="G665" s="13"/>
      <c r="H665" s="13"/>
      <c r="I665" s="13"/>
      <c r="J665" s="13"/>
      <c r="K665" s="4"/>
      <c r="L665" s="4"/>
      <c r="M665" s="4"/>
      <c r="Q665" s="4"/>
      <c r="R665" s="4"/>
      <c r="S665" s="4"/>
      <c r="T665" s="4"/>
      <c r="U665" s="4"/>
      <c r="V665" s="4"/>
      <c r="W665" s="4"/>
      <c r="X665" s="4"/>
    </row>
    <row r="666" spans="3:24">
      <c r="C666" s="4"/>
      <c r="D666" s="13"/>
      <c r="E666" s="13"/>
      <c r="F666" s="13"/>
      <c r="G666" s="13"/>
      <c r="H666" s="13"/>
      <c r="I666" s="13"/>
      <c r="J666" s="13"/>
      <c r="K666" s="4"/>
      <c r="L666" s="4"/>
      <c r="M666" s="4"/>
      <c r="Q666" s="4"/>
      <c r="R666" s="4"/>
      <c r="S666" s="4"/>
      <c r="T666" s="4"/>
      <c r="U666" s="4"/>
      <c r="V666" s="4"/>
      <c r="W666" s="4"/>
      <c r="X666" s="4"/>
    </row>
    <row r="667" spans="3:24">
      <c r="C667" s="4"/>
      <c r="D667" s="13"/>
      <c r="E667" s="13"/>
      <c r="F667" s="13"/>
      <c r="G667" s="13"/>
      <c r="H667" s="13"/>
      <c r="I667" s="13"/>
      <c r="J667" s="13"/>
      <c r="K667" s="4"/>
      <c r="L667" s="4"/>
      <c r="M667" s="4"/>
      <c r="Q667" s="4"/>
      <c r="R667" s="4"/>
      <c r="S667" s="4"/>
      <c r="T667" s="4"/>
      <c r="U667" s="4"/>
      <c r="V667" s="4"/>
      <c r="W667" s="4"/>
      <c r="X667" s="4"/>
    </row>
    <row r="668" spans="3:24">
      <c r="C668" s="4"/>
      <c r="D668" s="13"/>
      <c r="E668" s="13"/>
      <c r="F668" s="13"/>
      <c r="G668" s="13"/>
      <c r="H668" s="13"/>
      <c r="I668" s="13"/>
      <c r="J668" s="13"/>
      <c r="K668" s="4"/>
      <c r="L668" s="4"/>
      <c r="M668" s="4"/>
      <c r="Q668" s="4"/>
      <c r="R668" s="4"/>
      <c r="S668" s="4"/>
      <c r="T668" s="4"/>
      <c r="U668" s="4"/>
      <c r="V668" s="4"/>
      <c r="W668" s="4"/>
      <c r="X668" s="4"/>
    </row>
    <row r="669" spans="3:24">
      <c r="C669" s="4"/>
      <c r="D669" s="13"/>
      <c r="E669" s="13"/>
      <c r="F669" s="13"/>
      <c r="G669" s="13"/>
      <c r="H669" s="13"/>
      <c r="I669" s="13"/>
      <c r="J669" s="13"/>
      <c r="K669" s="4"/>
      <c r="L669" s="4"/>
      <c r="M669" s="4"/>
      <c r="Q669" s="4"/>
      <c r="R669" s="4"/>
      <c r="S669" s="4"/>
      <c r="T669" s="4"/>
      <c r="U669" s="4"/>
      <c r="V669" s="4"/>
      <c r="W669" s="4"/>
      <c r="X669" s="4"/>
    </row>
    <row r="670" spans="3:24">
      <c r="C670" s="4"/>
      <c r="D670" s="13"/>
      <c r="E670" s="13"/>
      <c r="F670" s="13"/>
      <c r="G670" s="13"/>
      <c r="H670" s="13"/>
      <c r="I670" s="13"/>
      <c r="J670" s="13"/>
      <c r="K670" s="4"/>
      <c r="L670" s="4"/>
      <c r="M670" s="4"/>
      <c r="Q670" s="4"/>
      <c r="R670" s="4"/>
      <c r="S670" s="4"/>
      <c r="T670" s="4"/>
      <c r="U670" s="4"/>
      <c r="V670" s="4"/>
      <c r="W670" s="4"/>
      <c r="X670" s="4"/>
    </row>
    <row r="671" spans="3:24">
      <c r="C671" s="4"/>
      <c r="D671" s="13"/>
      <c r="E671" s="13"/>
      <c r="F671" s="13"/>
      <c r="G671" s="13"/>
      <c r="H671" s="13"/>
      <c r="I671" s="13"/>
      <c r="J671" s="13"/>
      <c r="K671" s="4"/>
      <c r="L671" s="4"/>
      <c r="M671" s="4"/>
      <c r="Q671" s="4"/>
      <c r="R671" s="4"/>
      <c r="S671" s="4"/>
      <c r="T671" s="4"/>
      <c r="U671" s="4"/>
      <c r="V671" s="4"/>
      <c r="W671" s="4"/>
      <c r="X671" s="4"/>
    </row>
    <row r="672" spans="3:24">
      <c r="C672" s="4"/>
      <c r="D672" s="13"/>
      <c r="E672" s="13"/>
      <c r="F672" s="13"/>
      <c r="G672" s="13"/>
      <c r="H672" s="13"/>
      <c r="I672" s="13"/>
      <c r="J672" s="13"/>
      <c r="K672" s="4"/>
      <c r="L672" s="4"/>
      <c r="M672" s="4"/>
      <c r="Q672" s="4"/>
      <c r="R672" s="4"/>
      <c r="S672" s="4"/>
      <c r="T672" s="4"/>
      <c r="U672" s="4"/>
      <c r="V672" s="4"/>
      <c r="W672" s="4"/>
      <c r="X672" s="4"/>
    </row>
    <row r="673" spans="3:24">
      <c r="C673" s="4"/>
      <c r="D673" s="13"/>
      <c r="E673" s="13"/>
      <c r="F673" s="13"/>
      <c r="G673" s="13"/>
      <c r="H673" s="13"/>
      <c r="I673" s="13"/>
      <c r="J673" s="13"/>
      <c r="K673" s="4"/>
      <c r="L673" s="4"/>
      <c r="M673" s="4"/>
      <c r="Q673" s="4"/>
      <c r="R673" s="4"/>
      <c r="S673" s="4"/>
      <c r="T673" s="4"/>
      <c r="U673" s="4"/>
      <c r="V673" s="4"/>
      <c r="W673" s="4"/>
      <c r="X673" s="4"/>
    </row>
    <row r="674" spans="3:24">
      <c r="C674" s="4"/>
      <c r="D674" s="13"/>
      <c r="E674" s="13"/>
      <c r="F674" s="13"/>
      <c r="G674" s="13"/>
      <c r="H674" s="13"/>
      <c r="I674" s="13"/>
      <c r="J674" s="13"/>
      <c r="K674" s="4"/>
      <c r="L674" s="4"/>
      <c r="M674" s="4"/>
      <c r="Q674" s="4"/>
      <c r="R674" s="4"/>
      <c r="S674" s="4"/>
      <c r="T674" s="4"/>
      <c r="U674" s="4"/>
      <c r="V674" s="4"/>
      <c r="W674" s="4"/>
      <c r="X674" s="4"/>
    </row>
    <row r="675" spans="3:24">
      <c r="C675" s="4"/>
      <c r="D675" s="13"/>
      <c r="E675" s="13"/>
      <c r="F675" s="13"/>
      <c r="G675" s="13"/>
      <c r="H675" s="13"/>
      <c r="I675" s="13"/>
      <c r="J675" s="13"/>
      <c r="K675" s="4"/>
      <c r="L675" s="4"/>
      <c r="M675" s="4"/>
      <c r="Q675" s="4"/>
      <c r="R675" s="4"/>
      <c r="S675" s="4"/>
      <c r="T675" s="4"/>
      <c r="U675" s="4"/>
      <c r="V675" s="4"/>
      <c r="W675" s="4"/>
      <c r="X675" s="4"/>
    </row>
    <row r="676" spans="3:24">
      <c r="C676" s="4"/>
      <c r="D676" s="13"/>
      <c r="E676" s="13"/>
      <c r="F676" s="13"/>
      <c r="G676" s="13"/>
      <c r="H676" s="13"/>
      <c r="I676" s="13"/>
      <c r="J676" s="13"/>
      <c r="K676" s="4"/>
      <c r="L676" s="4"/>
      <c r="M676" s="4"/>
      <c r="Q676" s="4"/>
      <c r="R676" s="4"/>
      <c r="S676" s="4"/>
      <c r="T676" s="4"/>
      <c r="U676" s="4"/>
      <c r="V676" s="4"/>
      <c r="W676" s="4"/>
      <c r="X676" s="4"/>
    </row>
    <row r="677" spans="3:24">
      <c r="C677" s="4"/>
      <c r="D677" s="13"/>
      <c r="E677" s="13"/>
      <c r="F677" s="13"/>
      <c r="G677" s="13"/>
      <c r="H677" s="13"/>
      <c r="I677" s="13"/>
      <c r="J677" s="13"/>
      <c r="K677" s="4"/>
      <c r="L677" s="4"/>
      <c r="M677" s="4"/>
      <c r="Q677" s="4"/>
      <c r="R677" s="4"/>
      <c r="S677" s="4"/>
      <c r="T677" s="4"/>
      <c r="U677" s="4"/>
      <c r="V677" s="4"/>
      <c r="W677" s="4"/>
      <c r="X677" s="4"/>
    </row>
    <row r="678" spans="3:24">
      <c r="C678" s="4"/>
      <c r="D678" s="13"/>
      <c r="E678" s="13"/>
      <c r="F678" s="13"/>
      <c r="G678" s="13"/>
      <c r="H678" s="13"/>
      <c r="I678" s="13"/>
      <c r="J678" s="13"/>
      <c r="K678" s="4"/>
      <c r="L678" s="4"/>
      <c r="M678" s="4"/>
      <c r="Q678" s="4"/>
      <c r="R678" s="4"/>
      <c r="S678" s="4"/>
      <c r="T678" s="4"/>
      <c r="U678" s="4"/>
      <c r="V678" s="4"/>
      <c r="W678" s="4"/>
      <c r="X678" s="4"/>
    </row>
    <row r="679" spans="3:24">
      <c r="C679" s="4"/>
      <c r="D679" s="13"/>
      <c r="E679" s="13"/>
      <c r="F679" s="13"/>
      <c r="G679" s="13"/>
      <c r="H679" s="13"/>
      <c r="I679" s="13"/>
      <c r="J679" s="13"/>
      <c r="K679" s="4"/>
      <c r="L679" s="4"/>
      <c r="M679" s="4"/>
      <c r="Q679" s="4"/>
      <c r="R679" s="4"/>
      <c r="S679" s="4"/>
      <c r="T679" s="4"/>
      <c r="U679" s="4"/>
      <c r="V679" s="4"/>
      <c r="W679" s="4"/>
      <c r="X679" s="4"/>
    </row>
    <row r="680" spans="3:24">
      <c r="C680" s="4"/>
      <c r="D680" s="13"/>
      <c r="E680" s="13"/>
      <c r="F680" s="13"/>
      <c r="G680" s="13"/>
      <c r="H680" s="13"/>
      <c r="I680" s="13"/>
      <c r="J680" s="13"/>
      <c r="K680" s="4"/>
      <c r="L680" s="4"/>
      <c r="M680" s="4"/>
      <c r="Q680" s="4"/>
      <c r="R680" s="4"/>
      <c r="S680" s="4"/>
      <c r="T680" s="4"/>
      <c r="U680" s="4"/>
      <c r="V680" s="4"/>
      <c r="W680" s="4"/>
      <c r="X680" s="4"/>
    </row>
    <row r="681" spans="3:24">
      <c r="C681" s="4"/>
      <c r="D681" s="13"/>
      <c r="E681" s="13"/>
      <c r="F681" s="13"/>
      <c r="G681" s="13"/>
      <c r="H681" s="13"/>
      <c r="I681" s="13"/>
      <c r="J681" s="13"/>
      <c r="K681" s="4"/>
      <c r="L681" s="4"/>
      <c r="M681" s="4"/>
      <c r="Q681" s="4"/>
      <c r="R681" s="4"/>
      <c r="S681" s="4"/>
      <c r="T681" s="4"/>
      <c r="U681" s="4"/>
      <c r="V681" s="4"/>
      <c r="W681" s="4"/>
      <c r="X681" s="4"/>
    </row>
    <row r="682" spans="3:24">
      <c r="C682" s="4"/>
      <c r="D682" s="13"/>
      <c r="E682" s="13"/>
      <c r="F682" s="13"/>
      <c r="G682" s="13"/>
      <c r="H682" s="13"/>
      <c r="I682" s="13"/>
      <c r="J682" s="13"/>
      <c r="K682" s="4"/>
      <c r="L682" s="4"/>
      <c r="M682" s="4"/>
      <c r="Q682" s="4"/>
      <c r="R682" s="4"/>
      <c r="S682" s="4"/>
      <c r="T682" s="4"/>
      <c r="U682" s="4"/>
      <c r="V682" s="4"/>
      <c r="W682" s="4"/>
      <c r="X682" s="4"/>
    </row>
    <row r="683" spans="3:24">
      <c r="C683" s="4"/>
      <c r="D683" s="13"/>
      <c r="E683" s="13"/>
      <c r="F683" s="13"/>
      <c r="G683" s="13"/>
      <c r="H683" s="13"/>
      <c r="I683" s="13"/>
      <c r="J683" s="13"/>
      <c r="K683" s="4"/>
      <c r="L683" s="4"/>
      <c r="M683" s="4"/>
      <c r="Q683" s="4"/>
      <c r="R683" s="4"/>
      <c r="S683" s="4"/>
      <c r="T683" s="4"/>
      <c r="U683" s="4"/>
      <c r="V683" s="4"/>
      <c r="W683" s="4"/>
      <c r="X683" s="4"/>
    </row>
    <row r="684" spans="3:24">
      <c r="C684" s="4"/>
      <c r="D684" s="13"/>
      <c r="E684" s="13"/>
      <c r="F684" s="13"/>
      <c r="G684" s="13"/>
      <c r="H684" s="13"/>
      <c r="I684" s="13"/>
      <c r="J684" s="13"/>
      <c r="K684" s="4"/>
      <c r="L684" s="4"/>
      <c r="M684" s="4"/>
      <c r="Q684" s="4"/>
      <c r="R684" s="4"/>
      <c r="S684" s="4"/>
      <c r="T684" s="4"/>
      <c r="U684" s="4"/>
      <c r="V684" s="4"/>
      <c r="W684" s="4"/>
      <c r="X684" s="4"/>
    </row>
    <row r="685" spans="3:24">
      <c r="C685" s="4"/>
      <c r="D685" s="13"/>
      <c r="E685" s="13"/>
      <c r="F685" s="13"/>
      <c r="G685" s="13"/>
      <c r="H685" s="13"/>
      <c r="I685" s="13"/>
      <c r="J685" s="13"/>
      <c r="K685" s="4"/>
      <c r="L685" s="4"/>
      <c r="M685" s="4"/>
      <c r="Q685" s="4"/>
      <c r="R685" s="4"/>
      <c r="S685" s="4"/>
      <c r="T685" s="4"/>
      <c r="U685" s="4"/>
      <c r="V685" s="4"/>
      <c r="W685" s="4"/>
      <c r="X685" s="4"/>
    </row>
    <row r="686" spans="3:24">
      <c r="C686" s="4"/>
      <c r="D686" s="13"/>
      <c r="E686" s="13"/>
      <c r="F686" s="13"/>
      <c r="G686" s="13"/>
      <c r="H686" s="13"/>
      <c r="I686" s="13"/>
      <c r="J686" s="13"/>
      <c r="K686" s="4"/>
      <c r="L686" s="4"/>
      <c r="M686" s="4"/>
      <c r="Q686" s="4"/>
      <c r="R686" s="4"/>
      <c r="S686" s="4"/>
      <c r="T686" s="4"/>
      <c r="U686" s="4"/>
      <c r="V686" s="4"/>
      <c r="W686" s="4"/>
      <c r="X686" s="4"/>
    </row>
    <row r="687" spans="3:24">
      <c r="C687" s="4"/>
      <c r="D687" s="13"/>
      <c r="E687" s="13"/>
      <c r="F687" s="13"/>
      <c r="G687" s="13"/>
      <c r="H687" s="13"/>
      <c r="I687" s="13"/>
      <c r="J687" s="13"/>
      <c r="K687" s="4"/>
      <c r="L687" s="4"/>
      <c r="M687" s="4"/>
      <c r="Q687" s="4"/>
      <c r="R687" s="4"/>
      <c r="S687" s="4"/>
      <c r="T687" s="4"/>
      <c r="U687" s="4"/>
      <c r="V687" s="4"/>
      <c r="W687" s="4"/>
      <c r="X687" s="4"/>
    </row>
    <row r="688" spans="3:24">
      <c r="C688" s="4"/>
      <c r="D688" s="13"/>
      <c r="E688" s="13"/>
      <c r="F688" s="13"/>
      <c r="G688" s="13"/>
      <c r="H688" s="13"/>
      <c r="I688" s="13"/>
      <c r="J688" s="13"/>
      <c r="K688" s="4"/>
      <c r="L688" s="4"/>
      <c r="M688" s="4"/>
      <c r="Q688" s="4"/>
      <c r="R688" s="4"/>
      <c r="S688" s="4"/>
      <c r="T688" s="4"/>
      <c r="U688" s="4"/>
      <c r="V688" s="4"/>
      <c r="W688" s="4"/>
      <c r="X688" s="4"/>
    </row>
    <row r="689" spans="3:24">
      <c r="C689" s="4"/>
      <c r="D689" s="13"/>
      <c r="E689" s="13"/>
      <c r="F689" s="13"/>
      <c r="G689" s="13"/>
      <c r="H689" s="13"/>
      <c r="I689" s="13"/>
      <c r="J689" s="13"/>
      <c r="K689" s="4"/>
      <c r="L689" s="4"/>
      <c r="M689" s="4"/>
      <c r="Q689" s="4"/>
      <c r="R689" s="4"/>
      <c r="S689" s="4"/>
      <c r="T689" s="4"/>
      <c r="U689" s="4"/>
      <c r="V689" s="4"/>
      <c r="W689" s="4"/>
      <c r="X689" s="4"/>
    </row>
    <row r="690" spans="3:24">
      <c r="C690" s="4"/>
      <c r="D690" s="13"/>
      <c r="E690" s="13"/>
      <c r="F690" s="13"/>
      <c r="G690" s="13"/>
      <c r="H690" s="13"/>
      <c r="I690" s="13"/>
      <c r="J690" s="13"/>
      <c r="K690" s="4"/>
      <c r="L690" s="4"/>
      <c r="M690" s="4"/>
      <c r="Q690" s="4"/>
      <c r="R690" s="4"/>
      <c r="S690" s="4"/>
      <c r="T690" s="4"/>
      <c r="U690" s="4"/>
      <c r="V690" s="4"/>
      <c r="W690" s="4"/>
      <c r="X690" s="4"/>
    </row>
    <row r="691" spans="3:24">
      <c r="C691" s="4"/>
      <c r="D691" s="13"/>
      <c r="E691" s="13"/>
      <c r="F691" s="13"/>
      <c r="G691" s="13"/>
      <c r="H691" s="13"/>
      <c r="I691" s="13"/>
      <c r="J691" s="13"/>
      <c r="K691" s="4"/>
      <c r="L691" s="4"/>
      <c r="M691" s="4"/>
      <c r="Q691" s="4"/>
      <c r="R691" s="4"/>
      <c r="S691" s="4"/>
      <c r="T691" s="4"/>
      <c r="U691" s="4"/>
      <c r="V691" s="4"/>
      <c r="W691" s="4"/>
      <c r="X691" s="4"/>
    </row>
    <row r="692" spans="3:24">
      <c r="C692" s="4"/>
      <c r="D692" s="13"/>
      <c r="E692" s="13"/>
      <c r="F692" s="13"/>
      <c r="G692" s="13"/>
      <c r="H692" s="13"/>
      <c r="I692" s="13"/>
      <c r="J692" s="13"/>
      <c r="K692" s="4"/>
      <c r="L692" s="4"/>
      <c r="M692" s="4"/>
      <c r="Q692" s="4"/>
      <c r="R692" s="4"/>
      <c r="S692" s="4"/>
      <c r="T692" s="4"/>
      <c r="U692" s="4"/>
      <c r="V692" s="4"/>
      <c r="W692" s="4"/>
      <c r="X692" s="4"/>
    </row>
    <row r="693" spans="3:24">
      <c r="C693" s="4"/>
      <c r="D693" s="13"/>
      <c r="E693" s="13"/>
      <c r="F693" s="13"/>
      <c r="G693" s="13"/>
      <c r="H693" s="13"/>
      <c r="I693" s="13"/>
      <c r="J693" s="13"/>
      <c r="K693" s="4"/>
      <c r="L693" s="4"/>
      <c r="M693" s="4"/>
      <c r="Q693" s="4"/>
      <c r="R693" s="4"/>
      <c r="S693" s="4"/>
      <c r="T693" s="4"/>
      <c r="U693" s="4"/>
      <c r="V693" s="4"/>
      <c r="W693" s="4"/>
      <c r="X693" s="4"/>
    </row>
    <row r="694" spans="3:24">
      <c r="C694" s="4"/>
      <c r="D694" s="13"/>
      <c r="E694" s="13"/>
      <c r="F694" s="13"/>
      <c r="G694" s="13"/>
      <c r="H694" s="13"/>
      <c r="I694" s="13"/>
      <c r="J694" s="13"/>
      <c r="K694" s="4"/>
      <c r="L694" s="4"/>
      <c r="M694" s="4"/>
      <c r="Q694" s="4"/>
      <c r="R694" s="4"/>
      <c r="S694" s="4"/>
      <c r="T694" s="4"/>
      <c r="U694" s="4"/>
      <c r="V694" s="4"/>
      <c r="W694" s="4"/>
      <c r="X694" s="4"/>
    </row>
    <row r="695" spans="3:24">
      <c r="C695" s="4"/>
      <c r="D695" s="13"/>
      <c r="E695" s="13"/>
      <c r="F695" s="13"/>
      <c r="G695" s="13"/>
      <c r="H695" s="13"/>
      <c r="I695" s="13"/>
      <c r="J695" s="13"/>
      <c r="K695" s="4"/>
      <c r="L695" s="4"/>
      <c r="M695" s="4"/>
      <c r="Q695" s="4"/>
      <c r="R695" s="4"/>
      <c r="S695" s="4"/>
      <c r="T695" s="4"/>
      <c r="U695" s="4"/>
      <c r="V695" s="4"/>
      <c r="W695" s="4"/>
      <c r="X695" s="4"/>
    </row>
    <row r="696" spans="3:24">
      <c r="C696" s="4"/>
      <c r="D696" s="13"/>
      <c r="E696" s="13"/>
      <c r="F696" s="13"/>
      <c r="G696" s="13"/>
      <c r="H696" s="13"/>
      <c r="I696" s="13"/>
      <c r="J696" s="13"/>
      <c r="K696" s="4"/>
      <c r="L696" s="4"/>
      <c r="M696" s="4"/>
      <c r="Q696" s="4"/>
      <c r="R696" s="4"/>
      <c r="S696" s="4"/>
      <c r="T696" s="4"/>
      <c r="U696" s="4"/>
      <c r="V696" s="4"/>
      <c r="W696" s="4"/>
      <c r="X696" s="4"/>
    </row>
    <row r="697" spans="3:24">
      <c r="C697" s="4"/>
      <c r="D697" s="13"/>
      <c r="E697" s="13"/>
      <c r="F697" s="13"/>
      <c r="G697" s="13"/>
      <c r="H697" s="13"/>
      <c r="I697" s="13"/>
      <c r="J697" s="13"/>
      <c r="K697" s="4"/>
      <c r="L697" s="4"/>
      <c r="M697" s="4"/>
      <c r="Q697" s="4"/>
      <c r="R697" s="4"/>
      <c r="S697" s="4"/>
      <c r="T697" s="4"/>
      <c r="U697" s="4"/>
      <c r="V697" s="4"/>
      <c r="W697" s="4"/>
      <c r="X697" s="4"/>
    </row>
    <row r="698" spans="3:24">
      <c r="C698" s="4"/>
      <c r="D698" s="13"/>
      <c r="E698" s="13"/>
      <c r="F698" s="13"/>
      <c r="G698" s="13"/>
      <c r="H698" s="13"/>
      <c r="I698" s="13"/>
      <c r="J698" s="13"/>
      <c r="K698" s="4"/>
      <c r="L698" s="4"/>
      <c r="M698" s="4"/>
      <c r="Q698" s="4"/>
      <c r="R698" s="4"/>
      <c r="S698" s="4"/>
      <c r="T698" s="4"/>
      <c r="U698" s="4"/>
      <c r="V698" s="4"/>
      <c r="W698" s="4"/>
      <c r="X698" s="4"/>
    </row>
    <row r="699" spans="3:24">
      <c r="C699" s="4"/>
      <c r="D699" s="13"/>
      <c r="E699" s="13"/>
      <c r="F699" s="13"/>
      <c r="G699" s="13"/>
      <c r="H699" s="13"/>
      <c r="I699" s="13"/>
      <c r="J699" s="13"/>
      <c r="K699" s="4"/>
      <c r="L699" s="4"/>
      <c r="M699" s="4"/>
      <c r="Q699" s="4"/>
      <c r="R699" s="4"/>
      <c r="S699" s="4"/>
      <c r="T699" s="4"/>
      <c r="U699" s="4"/>
      <c r="V699" s="4"/>
      <c r="W699" s="4"/>
      <c r="X699" s="4"/>
    </row>
    <row r="700" spans="3:24">
      <c r="C700" s="4"/>
      <c r="D700" s="13"/>
      <c r="E700" s="13"/>
      <c r="F700" s="13"/>
      <c r="G700" s="13"/>
      <c r="H700" s="13"/>
      <c r="I700" s="13"/>
      <c r="J700" s="13"/>
      <c r="K700" s="4"/>
      <c r="L700" s="4"/>
      <c r="M700" s="4"/>
      <c r="Q700" s="4"/>
      <c r="R700" s="4"/>
      <c r="S700" s="4"/>
      <c r="T700" s="4"/>
      <c r="U700" s="4"/>
      <c r="V700" s="4"/>
      <c r="W700" s="4"/>
      <c r="X700" s="4"/>
    </row>
    <row r="701" spans="3:24">
      <c r="C701" s="4"/>
      <c r="D701" s="13"/>
      <c r="E701" s="13"/>
      <c r="F701" s="13"/>
      <c r="G701" s="13"/>
      <c r="H701" s="13"/>
      <c r="I701" s="13"/>
      <c r="J701" s="13"/>
      <c r="K701" s="4"/>
      <c r="L701" s="4"/>
      <c r="M701" s="4"/>
      <c r="Q701" s="4"/>
      <c r="R701" s="4"/>
      <c r="S701" s="4"/>
      <c r="T701" s="4"/>
      <c r="U701" s="4"/>
      <c r="V701" s="4"/>
      <c r="W701" s="4"/>
      <c r="X701" s="4"/>
    </row>
    <row r="702" spans="3:24">
      <c r="C702" s="4"/>
      <c r="D702" s="13"/>
      <c r="E702" s="13"/>
      <c r="F702" s="13"/>
      <c r="G702" s="13"/>
      <c r="H702" s="13"/>
      <c r="I702" s="13"/>
      <c r="J702" s="13"/>
      <c r="K702" s="4"/>
      <c r="L702" s="4"/>
      <c r="M702" s="4"/>
      <c r="Q702" s="4"/>
      <c r="R702" s="4"/>
      <c r="S702" s="4"/>
      <c r="T702" s="4"/>
      <c r="U702" s="4"/>
      <c r="V702" s="4"/>
      <c r="W702" s="4"/>
      <c r="X702" s="4"/>
    </row>
    <row r="703" spans="3:24">
      <c r="C703" s="4"/>
      <c r="D703" s="13"/>
      <c r="E703" s="13"/>
      <c r="F703" s="13"/>
      <c r="G703" s="13"/>
      <c r="H703" s="13"/>
      <c r="I703" s="13"/>
      <c r="J703" s="13"/>
      <c r="K703" s="4"/>
      <c r="L703" s="4"/>
      <c r="M703" s="4"/>
      <c r="Q703" s="4"/>
      <c r="R703" s="4"/>
      <c r="S703" s="4"/>
      <c r="T703" s="4"/>
      <c r="U703" s="4"/>
      <c r="V703" s="4"/>
      <c r="W703" s="4"/>
      <c r="X703" s="4"/>
    </row>
    <row r="704" spans="3:24">
      <c r="C704" s="4"/>
      <c r="D704" s="13"/>
      <c r="E704" s="13"/>
      <c r="F704" s="13"/>
      <c r="G704" s="13"/>
      <c r="H704" s="13"/>
      <c r="I704" s="13"/>
      <c r="J704" s="13"/>
      <c r="K704" s="4"/>
      <c r="L704" s="4"/>
      <c r="M704" s="4"/>
      <c r="Q704" s="4"/>
      <c r="R704" s="4"/>
      <c r="S704" s="4"/>
      <c r="T704" s="4"/>
      <c r="U704" s="4"/>
      <c r="V704" s="4"/>
      <c r="W704" s="4"/>
      <c r="X704" s="4"/>
    </row>
    <row r="705" spans="3:24">
      <c r="C705" s="4"/>
      <c r="D705" s="13"/>
      <c r="E705" s="13"/>
      <c r="F705" s="13"/>
      <c r="G705" s="13"/>
      <c r="H705" s="13"/>
      <c r="I705" s="13"/>
      <c r="J705" s="13"/>
      <c r="K705" s="4"/>
      <c r="L705" s="4"/>
      <c r="M705" s="4"/>
      <c r="Q705" s="4"/>
      <c r="R705" s="4"/>
      <c r="S705" s="4"/>
      <c r="T705" s="4"/>
      <c r="U705" s="4"/>
      <c r="V705" s="4"/>
      <c r="W705" s="4"/>
      <c r="X705" s="4"/>
    </row>
    <row r="706" spans="3:24">
      <c r="C706" s="4"/>
      <c r="D706" s="13"/>
      <c r="E706" s="13"/>
      <c r="F706" s="13"/>
      <c r="G706" s="13"/>
      <c r="H706" s="13"/>
      <c r="I706" s="13"/>
      <c r="J706" s="13"/>
      <c r="K706" s="4"/>
      <c r="L706" s="4"/>
      <c r="M706" s="4"/>
      <c r="Q706" s="4"/>
      <c r="R706" s="4"/>
      <c r="S706" s="4"/>
      <c r="T706" s="4"/>
      <c r="U706" s="4"/>
      <c r="V706" s="4"/>
      <c r="W706" s="4"/>
      <c r="X706" s="4"/>
    </row>
    <row r="707" spans="3:24">
      <c r="C707" s="4"/>
      <c r="D707" s="13"/>
      <c r="E707" s="13"/>
      <c r="F707" s="13"/>
      <c r="G707" s="13"/>
      <c r="H707" s="13"/>
      <c r="I707" s="13"/>
      <c r="J707" s="13"/>
      <c r="K707" s="4"/>
      <c r="L707" s="4"/>
      <c r="M707" s="4"/>
      <c r="Q707" s="4"/>
      <c r="R707" s="4"/>
      <c r="S707" s="4"/>
      <c r="T707" s="4"/>
      <c r="U707" s="4"/>
      <c r="V707" s="4"/>
      <c r="W707" s="4"/>
      <c r="X707" s="4"/>
    </row>
    <row r="708" spans="3:24">
      <c r="C708" s="4"/>
      <c r="D708" s="13"/>
      <c r="E708" s="13"/>
      <c r="F708" s="13"/>
      <c r="G708" s="13"/>
      <c r="H708" s="13"/>
      <c r="I708" s="13"/>
      <c r="J708" s="13"/>
      <c r="K708" s="4"/>
      <c r="L708" s="4"/>
      <c r="M708" s="4"/>
      <c r="Q708" s="4"/>
      <c r="R708" s="4"/>
      <c r="S708" s="4"/>
      <c r="T708" s="4"/>
      <c r="U708" s="4"/>
      <c r="V708" s="4"/>
      <c r="W708" s="4"/>
      <c r="X708" s="4"/>
    </row>
    <row r="709" spans="3:24">
      <c r="C709" s="4"/>
      <c r="D709" s="13"/>
      <c r="E709" s="13"/>
      <c r="F709" s="13"/>
      <c r="G709" s="13"/>
      <c r="H709" s="13"/>
      <c r="I709" s="13"/>
      <c r="J709" s="13"/>
      <c r="K709" s="4"/>
      <c r="L709" s="4"/>
      <c r="M709" s="4"/>
      <c r="Q709" s="4"/>
      <c r="R709" s="4"/>
      <c r="S709" s="4"/>
      <c r="T709" s="4"/>
      <c r="U709" s="4"/>
      <c r="V709" s="4"/>
      <c r="W709" s="4"/>
      <c r="X709" s="4"/>
    </row>
    <row r="710" spans="3:24">
      <c r="C710" s="4"/>
      <c r="D710" s="13"/>
      <c r="E710" s="13"/>
      <c r="F710" s="13"/>
      <c r="G710" s="13"/>
      <c r="H710" s="13"/>
      <c r="I710" s="13"/>
      <c r="J710" s="13"/>
      <c r="K710" s="4"/>
      <c r="L710" s="4"/>
      <c r="M710" s="4"/>
      <c r="Q710" s="4"/>
      <c r="R710" s="4"/>
      <c r="S710" s="4"/>
      <c r="T710" s="4"/>
      <c r="U710" s="4"/>
      <c r="V710" s="4"/>
      <c r="W710" s="4"/>
      <c r="X710" s="4"/>
    </row>
    <row r="711" spans="3:24">
      <c r="C711" s="4"/>
      <c r="D711" s="13"/>
      <c r="E711" s="13"/>
      <c r="F711" s="13"/>
      <c r="G711" s="13"/>
      <c r="H711" s="13"/>
      <c r="I711" s="13"/>
      <c r="J711" s="13"/>
      <c r="K711" s="4"/>
      <c r="L711" s="4"/>
      <c r="M711" s="4"/>
      <c r="Q711" s="4"/>
      <c r="R711" s="4"/>
      <c r="S711" s="4"/>
      <c r="T711" s="4"/>
      <c r="U711" s="4"/>
      <c r="V711" s="4"/>
      <c r="W711" s="4"/>
      <c r="X711" s="4"/>
    </row>
    <row r="712" spans="3:24">
      <c r="C712" s="4"/>
      <c r="D712" s="13"/>
      <c r="E712" s="13"/>
      <c r="F712" s="13"/>
      <c r="G712" s="13"/>
      <c r="H712" s="13"/>
      <c r="I712" s="13"/>
      <c r="J712" s="13"/>
      <c r="K712" s="4"/>
      <c r="L712" s="4"/>
      <c r="M712" s="4"/>
      <c r="Q712" s="4"/>
      <c r="R712" s="4"/>
      <c r="S712" s="4"/>
      <c r="T712" s="4"/>
      <c r="U712" s="4"/>
      <c r="V712" s="4"/>
      <c r="W712" s="4"/>
      <c r="X712" s="4"/>
    </row>
    <row r="713" spans="3:24">
      <c r="C713" s="4"/>
      <c r="D713" s="13"/>
      <c r="E713" s="13"/>
      <c r="F713" s="13"/>
      <c r="G713" s="13"/>
      <c r="H713" s="13"/>
      <c r="I713" s="13"/>
      <c r="J713" s="13"/>
      <c r="K713" s="4"/>
      <c r="L713" s="4"/>
      <c r="M713" s="4"/>
      <c r="Q713" s="4"/>
      <c r="R713" s="4"/>
      <c r="S713" s="4"/>
      <c r="T713" s="4"/>
      <c r="U713" s="4"/>
      <c r="V713" s="4"/>
      <c r="W713" s="4"/>
      <c r="X713" s="4"/>
    </row>
    <row r="714" spans="3:24">
      <c r="C714" s="4"/>
      <c r="D714" s="13"/>
      <c r="E714" s="13"/>
      <c r="F714" s="13"/>
      <c r="G714" s="13"/>
      <c r="H714" s="13"/>
      <c r="I714" s="13"/>
      <c r="J714" s="13"/>
      <c r="K714" s="4"/>
      <c r="L714" s="4"/>
      <c r="M714" s="4"/>
      <c r="Q714" s="4"/>
      <c r="R714" s="4"/>
      <c r="S714" s="4"/>
      <c r="T714" s="4"/>
      <c r="U714" s="4"/>
      <c r="V714" s="4"/>
      <c r="W714" s="4"/>
      <c r="X714" s="4"/>
    </row>
    <row r="715" spans="3:24">
      <c r="C715" s="4"/>
      <c r="D715" s="13"/>
      <c r="E715" s="13"/>
      <c r="F715" s="13"/>
      <c r="G715" s="13"/>
      <c r="H715" s="13"/>
      <c r="I715" s="13"/>
      <c r="J715" s="13"/>
      <c r="K715" s="4"/>
      <c r="L715" s="4"/>
      <c r="M715" s="4"/>
      <c r="Q715" s="4"/>
      <c r="R715" s="4"/>
      <c r="S715" s="4"/>
      <c r="T715" s="4"/>
      <c r="U715" s="4"/>
      <c r="V715" s="4"/>
      <c r="W715" s="4"/>
      <c r="X715" s="4"/>
    </row>
    <row r="716" spans="3:24">
      <c r="C716" s="4"/>
      <c r="D716" s="13"/>
      <c r="E716" s="13"/>
      <c r="F716" s="13"/>
      <c r="G716" s="13"/>
      <c r="H716" s="13"/>
      <c r="I716" s="13"/>
      <c r="J716" s="13"/>
      <c r="K716" s="4"/>
      <c r="L716" s="4"/>
      <c r="M716" s="4"/>
      <c r="Q716" s="4"/>
      <c r="R716" s="4"/>
      <c r="S716" s="4"/>
      <c r="T716" s="4"/>
      <c r="U716" s="4"/>
      <c r="V716" s="4"/>
      <c r="W716" s="4"/>
      <c r="X716" s="4"/>
    </row>
    <row r="717" spans="3:24">
      <c r="C717" s="4"/>
      <c r="D717" s="13"/>
      <c r="E717" s="13"/>
      <c r="F717" s="13"/>
      <c r="G717" s="13"/>
      <c r="H717" s="13"/>
      <c r="I717" s="13"/>
      <c r="J717" s="13"/>
      <c r="K717" s="4"/>
      <c r="L717" s="4"/>
      <c r="M717" s="4"/>
      <c r="Q717" s="4"/>
      <c r="R717" s="4"/>
      <c r="S717" s="4"/>
      <c r="T717" s="4"/>
      <c r="U717" s="4"/>
      <c r="V717" s="4"/>
      <c r="W717" s="4"/>
      <c r="X717" s="4"/>
    </row>
    <row r="718" spans="3:24">
      <c r="C718" s="4"/>
      <c r="D718" s="13"/>
      <c r="E718" s="13"/>
      <c r="F718" s="13"/>
      <c r="G718" s="13"/>
      <c r="H718" s="13"/>
      <c r="I718" s="13"/>
      <c r="J718" s="13"/>
      <c r="K718" s="4"/>
      <c r="L718" s="4"/>
      <c r="M718" s="4"/>
      <c r="Q718" s="4"/>
      <c r="R718" s="4"/>
      <c r="S718" s="4"/>
      <c r="T718" s="4"/>
      <c r="U718" s="4"/>
      <c r="V718" s="4"/>
      <c r="W718" s="4"/>
      <c r="X718" s="4"/>
    </row>
    <row r="719" spans="3:24">
      <c r="C719" s="4"/>
      <c r="D719" s="13"/>
      <c r="E719" s="13"/>
      <c r="F719" s="13"/>
      <c r="G719" s="13"/>
      <c r="H719" s="13"/>
      <c r="I719" s="13"/>
      <c r="J719" s="13"/>
      <c r="K719" s="4"/>
      <c r="L719" s="4"/>
      <c r="M719" s="4"/>
      <c r="Q719" s="4"/>
      <c r="R719" s="4"/>
      <c r="S719" s="4"/>
      <c r="T719" s="4"/>
      <c r="U719" s="4"/>
      <c r="V719" s="4"/>
      <c r="W719" s="4"/>
      <c r="X719" s="4"/>
    </row>
    <row r="720" spans="3:24">
      <c r="C720" s="4"/>
      <c r="D720" s="13"/>
      <c r="E720" s="13"/>
      <c r="F720" s="13"/>
      <c r="G720" s="13"/>
      <c r="H720" s="13"/>
      <c r="I720" s="13"/>
      <c r="J720" s="13"/>
      <c r="K720" s="4"/>
      <c r="L720" s="4"/>
      <c r="M720" s="4"/>
      <c r="Q720" s="4"/>
      <c r="R720" s="4"/>
      <c r="S720" s="4"/>
      <c r="T720" s="4"/>
      <c r="U720" s="4"/>
      <c r="V720" s="4"/>
      <c r="W720" s="4"/>
      <c r="X720" s="4"/>
    </row>
    <row r="721" spans="3:24">
      <c r="C721" s="4"/>
      <c r="D721" s="13"/>
      <c r="E721" s="13"/>
      <c r="F721" s="13"/>
      <c r="G721" s="13"/>
      <c r="H721" s="13"/>
      <c r="I721" s="13"/>
      <c r="J721" s="13"/>
      <c r="K721" s="4"/>
      <c r="L721" s="4"/>
      <c r="M721" s="4"/>
      <c r="Q721" s="4"/>
      <c r="R721" s="4"/>
      <c r="S721" s="4"/>
      <c r="T721" s="4"/>
      <c r="U721" s="4"/>
      <c r="V721" s="4"/>
      <c r="W721" s="4"/>
      <c r="X721" s="4"/>
    </row>
    <row r="722" spans="3:24">
      <c r="C722" s="4"/>
      <c r="D722" s="13"/>
      <c r="E722" s="13"/>
      <c r="F722" s="13"/>
      <c r="G722" s="13"/>
      <c r="H722" s="13"/>
      <c r="I722" s="13"/>
      <c r="J722" s="13"/>
      <c r="K722" s="4"/>
      <c r="L722" s="4"/>
      <c r="M722" s="4"/>
      <c r="Q722" s="4"/>
      <c r="R722" s="4"/>
      <c r="S722" s="4"/>
      <c r="T722" s="4"/>
      <c r="U722" s="4"/>
      <c r="V722" s="4"/>
      <c r="W722" s="4"/>
      <c r="X722" s="4"/>
    </row>
    <row r="723" spans="3:24">
      <c r="C723" s="4"/>
      <c r="D723" s="13"/>
      <c r="E723" s="13"/>
      <c r="F723" s="13"/>
      <c r="G723" s="13"/>
      <c r="H723" s="13"/>
      <c r="I723" s="13"/>
      <c r="J723" s="13"/>
      <c r="K723" s="4"/>
      <c r="L723" s="4"/>
      <c r="M723" s="4"/>
      <c r="Q723" s="4"/>
      <c r="R723" s="4"/>
      <c r="S723" s="4"/>
      <c r="T723" s="4"/>
      <c r="U723" s="4"/>
      <c r="V723" s="4"/>
      <c r="W723" s="4"/>
      <c r="X723" s="4"/>
    </row>
    <row r="724" spans="3:24">
      <c r="C724" s="4"/>
      <c r="D724" s="13"/>
      <c r="E724" s="13"/>
      <c r="F724" s="13"/>
      <c r="G724" s="13"/>
      <c r="H724" s="13"/>
      <c r="I724" s="13"/>
      <c r="J724" s="13"/>
      <c r="K724" s="4"/>
      <c r="L724" s="4"/>
      <c r="M724" s="4"/>
      <c r="Q724" s="4"/>
      <c r="R724" s="4"/>
      <c r="S724" s="4"/>
      <c r="T724" s="4"/>
      <c r="U724" s="4"/>
      <c r="V724" s="4"/>
      <c r="W724" s="4"/>
      <c r="X724" s="4"/>
    </row>
    <row r="725" spans="3:24">
      <c r="C725" s="4"/>
      <c r="D725" s="13"/>
      <c r="E725" s="13"/>
      <c r="F725" s="13"/>
      <c r="G725" s="13"/>
      <c r="H725" s="13"/>
      <c r="I725" s="13"/>
      <c r="J725" s="13"/>
      <c r="K725" s="4"/>
      <c r="L725" s="4"/>
      <c r="M725" s="4"/>
      <c r="Q725" s="4"/>
      <c r="R725" s="4"/>
      <c r="S725" s="4"/>
      <c r="T725" s="4"/>
      <c r="U725" s="4"/>
      <c r="V725" s="4"/>
      <c r="W725" s="4"/>
      <c r="X725" s="4"/>
    </row>
    <row r="726" spans="3:24">
      <c r="C726" s="4"/>
      <c r="D726" s="13"/>
      <c r="E726" s="13"/>
      <c r="F726" s="13"/>
      <c r="G726" s="13"/>
      <c r="H726" s="13"/>
      <c r="I726" s="13"/>
      <c r="J726" s="13"/>
      <c r="K726" s="4"/>
      <c r="L726" s="4"/>
      <c r="M726" s="4"/>
      <c r="Q726" s="4"/>
      <c r="R726" s="4"/>
      <c r="S726" s="4"/>
      <c r="T726" s="4"/>
      <c r="U726" s="4"/>
      <c r="V726" s="4"/>
      <c r="W726" s="4"/>
      <c r="X726" s="4"/>
    </row>
    <row r="727" spans="3:24">
      <c r="C727" s="4"/>
      <c r="D727" s="13"/>
      <c r="E727" s="13"/>
      <c r="F727" s="13"/>
      <c r="G727" s="13"/>
      <c r="H727" s="13"/>
      <c r="I727" s="13"/>
      <c r="J727" s="13"/>
      <c r="K727" s="4"/>
      <c r="L727" s="4"/>
      <c r="M727" s="4"/>
      <c r="Q727" s="4"/>
      <c r="R727" s="4"/>
      <c r="S727" s="4"/>
      <c r="T727" s="4"/>
      <c r="U727" s="4"/>
      <c r="V727" s="4"/>
      <c r="W727" s="4"/>
      <c r="X727" s="4"/>
    </row>
    <row r="728" spans="3:24">
      <c r="C728" s="4"/>
      <c r="D728" s="13"/>
      <c r="E728" s="13"/>
      <c r="F728" s="13"/>
      <c r="G728" s="13"/>
      <c r="H728" s="13"/>
      <c r="I728" s="13"/>
      <c r="J728" s="13"/>
      <c r="K728" s="4"/>
      <c r="L728" s="4"/>
      <c r="M728" s="4"/>
      <c r="Q728" s="4"/>
      <c r="R728" s="4"/>
      <c r="S728" s="4"/>
      <c r="T728" s="4"/>
      <c r="U728" s="4"/>
      <c r="V728" s="4"/>
      <c r="W728" s="4"/>
      <c r="X728" s="4"/>
    </row>
    <row r="729" spans="3:24">
      <c r="C729" s="4"/>
      <c r="D729" s="13"/>
      <c r="E729" s="13"/>
      <c r="F729" s="13"/>
      <c r="G729" s="13"/>
      <c r="H729" s="13"/>
      <c r="I729" s="13"/>
      <c r="J729" s="13"/>
      <c r="K729" s="4"/>
      <c r="L729" s="4"/>
      <c r="M729" s="4"/>
      <c r="Q729" s="4"/>
      <c r="R729" s="4"/>
      <c r="S729" s="4"/>
      <c r="T729" s="4"/>
      <c r="U729" s="4"/>
      <c r="V729" s="4"/>
      <c r="W729" s="4"/>
      <c r="X729" s="4"/>
    </row>
    <row r="730" spans="3:24">
      <c r="C730" s="4"/>
      <c r="D730" s="13"/>
      <c r="E730" s="13"/>
      <c r="F730" s="13"/>
      <c r="G730" s="13"/>
      <c r="H730" s="13"/>
      <c r="I730" s="13"/>
      <c r="J730" s="13"/>
      <c r="K730" s="4"/>
      <c r="L730" s="4"/>
      <c r="M730" s="4"/>
      <c r="Q730" s="4"/>
      <c r="R730" s="4"/>
      <c r="S730" s="4"/>
      <c r="T730" s="4"/>
      <c r="U730" s="4"/>
      <c r="V730" s="4"/>
      <c r="W730" s="4"/>
      <c r="X730" s="4"/>
    </row>
    <row r="731" spans="3:24">
      <c r="C731" s="4"/>
      <c r="D731" s="13"/>
      <c r="E731" s="13"/>
      <c r="F731" s="13"/>
      <c r="G731" s="13"/>
      <c r="H731" s="13"/>
      <c r="I731" s="13"/>
      <c r="J731" s="13"/>
      <c r="K731" s="4"/>
      <c r="L731" s="4"/>
      <c r="M731" s="4"/>
      <c r="Q731" s="4"/>
      <c r="R731" s="4"/>
      <c r="S731" s="4"/>
      <c r="T731" s="4"/>
      <c r="U731" s="4"/>
      <c r="V731" s="4"/>
      <c r="W731" s="4"/>
      <c r="X731" s="4"/>
    </row>
    <row r="732" spans="3:24">
      <c r="C732" s="4"/>
      <c r="D732" s="13"/>
      <c r="E732" s="13"/>
      <c r="F732" s="13"/>
      <c r="G732" s="13"/>
      <c r="H732" s="13"/>
      <c r="I732" s="13"/>
      <c r="J732" s="13"/>
      <c r="K732" s="4"/>
      <c r="L732" s="4"/>
      <c r="M732" s="4"/>
      <c r="Q732" s="4"/>
      <c r="R732" s="4"/>
      <c r="S732" s="4"/>
      <c r="T732" s="4"/>
      <c r="U732" s="4"/>
      <c r="V732" s="4"/>
      <c r="W732" s="4"/>
      <c r="X732" s="4"/>
    </row>
    <row r="733" spans="3:24">
      <c r="C733" s="4"/>
      <c r="D733" s="13"/>
      <c r="E733" s="13"/>
      <c r="F733" s="13"/>
      <c r="G733" s="13"/>
      <c r="H733" s="13"/>
      <c r="I733" s="13"/>
      <c r="J733" s="13"/>
      <c r="K733" s="4"/>
      <c r="L733" s="4"/>
      <c r="M733" s="4"/>
      <c r="Q733" s="4"/>
      <c r="R733" s="4"/>
      <c r="S733" s="4"/>
      <c r="T733" s="4"/>
      <c r="U733" s="4"/>
      <c r="V733" s="4"/>
      <c r="W733" s="4"/>
      <c r="X733" s="4"/>
    </row>
    <row r="734" spans="3:24">
      <c r="C734" s="4"/>
      <c r="D734" s="13"/>
      <c r="E734" s="13"/>
      <c r="F734" s="13"/>
      <c r="G734" s="13"/>
      <c r="H734" s="13"/>
      <c r="I734" s="13"/>
      <c r="J734" s="13"/>
      <c r="K734" s="4"/>
      <c r="L734" s="4"/>
      <c r="M734" s="4"/>
      <c r="Q734" s="4"/>
      <c r="R734" s="4"/>
      <c r="S734" s="4"/>
      <c r="T734" s="4"/>
      <c r="U734" s="4"/>
      <c r="V734" s="4"/>
      <c r="W734" s="4"/>
      <c r="X734" s="4"/>
    </row>
    <row r="735" spans="3:24">
      <c r="C735" s="4"/>
      <c r="D735" s="13"/>
      <c r="E735" s="13"/>
      <c r="F735" s="13"/>
      <c r="G735" s="13"/>
      <c r="H735" s="13"/>
      <c r="I735" s="13"/>
      <c r="J735" s="13"/>
      <c r="K735" s="4"/>
      <c r="L735" s="4"/>
      <c r="M735" s="4"/>
      <c r="Q735" s="4"/>
      <c r="R735" s="4"/>
      <c r="S735" s="4"/>
      <c r="T735" s="4"/>
      <c r="U735" s="4"/>
      <c r="V735" s="4"/>
      <c r="W735" s="4"/>
      <c r="X735" s="4"/>
    </row>
    <row r="736" spans="3:24">
      <c r="C736" s="4"/>
      <c r="D736" s="13"/>
      <c r="E736" s="13"/>
      <c r="F736" s="13"/>
      <c r="G736" s="13"/>
      <c r="H736" s="13"/>
      <c r="I736" s="13"/>
      <c r="J736" s="13"/>
      <c r="K736" s="4"/>
      <c r="L736" s="4"/>
      <c r="M736" s="4"/>
      <c r="Q736" s="4"/>
      <c r="R736" s="4"/>
      <c r="S736" s="4"/>
      <c r="T736" s="4"/>
      <c r="U736" s="4"/>
      <c r="V736" s="4"/>
      <c r="W736" s="4"/>
      <c r="X736" s="4"/>
    </row>
    <row r="737" spans="3:24">
      <c r="C737" s="4"/>
      <c r="D737" s="13"/>
      <c r="E737" s="13"/>
      <c r="F737" s="13"/>
      <c r="G737" s="13"/>
      <c r="H737" s="13"/>
      <c r="I737" s="13"/>
      <c r="J737" s="13"/>
      <c r="K737" s="4"/>
      <c r="L737" s="4"/>
      <c r="M737" s="4"/>
      <c r="Q737" s="4"/>
      <c r="R737" s="4"/>
      <c r="S737" s="4"/>
      <c r="T737" s="4"/>
      <c r="U737" s="4"/>
      <c r="V737" s="4"/>
      <c r="W737" s="4"/>
      <c r="X737" s="4"/>
    </row>
    <row r="738" spans="3:24">
      <c r="C738" s="4"/>
      <c r="D738" s="13"/>
      <c r="E738" s="13"/>
      <c r="F738" s="13"/>
      <c r="G738" s="13"/>
      <c r="H738" s="13"/>
      <c r="I738" s="13"/>
      <c r="J738" s="13"/>
      <c r="K738" s="4"/>
      <c r="L738" s="4"/>
      <c r="M738" s="4"/>
      <c r="Q738" s="4"/>
      <c r="R738" s="4"/>
      <c r="S738" s="4"/>
      <c r="T738" s="4"/>
      <c r="U738" s="4"/>
      <c r="V738" s="4"/>
      <c r="W738" s="4"/>
      <c r="X738" s="4"/>
    </row>
    <row r="739" spans="3:24">
      <c r="C739" s="4"/>
      <c r="D739" s="13"/>
      <c r="E739" s="13"/>
      <c r="F739" s="13"/>
      <c r="G739" s="13"/>
      <c r="H739" s="13"/>
      <c r="I739" s="13"/>
      <c r="J739" s="13"/>
      <c r="K739" s="4"/>
      <c r="L739" s="4"/>
      <c r="M739" s="4"/>
      <c r="Q739" s="4"/>
      <c r="R739" s="4"/>
      <c r="S739" s="4"/>
      <c r="T739" s="4"/>
      <c r="U739" s="4"/>
      <c r="V739" s="4"/>
      <c r="W739" s="4"/>
      <c r="X739" s="4"/>
    </row>
    <row r="740" spans="3:24">
      <c r="C740" s="4"/>
      <c r="D740" s="13"/>
      <c r="E740" s="13"/>
      <c r="F740" s="13"/>
      <c r="G740" s="13"/>
      <c r="H740" s="13"/>
      <c r="I740" s="13"/>
      <c r="J740" s="13"/>
      <c r="K740" s="4"/>
      <c r="L740" s="4"/>
      <c r="M740" s="4"/>
      <c r="Q740" s="4"/>
      <c r="R740" s="4"/>
      <c r="S740" s="4"/>
      <c r="T740" s="4"/>
      <c r="U740" s="4"/>
      <c r="V740" s="4"/>
      <c r="W740" s="4"/>
      <c r="X740" s="4"/>
    </row>
    <row r="741" spans="3:24">
      <c r="C741" s="4"/>
      <c r="D741" s="13"/>
      <c r="E741" s="13"/>
      <c r="F741" s="13"/>
      <c r="G741" s="13"/>
      <c r="H741" s="13"/>
      <c r="I741" s="13"/>
      <c r="J741" s="13"/>
      <c r="K741" s="4"/>
      <c r="L741" s="4"/>
      <c r="M741" s="4"/>
      <c r="Q741" s="4"/>
      <c r="R741" s="4"/>
      <c r="S741" s="4"/>
      <c r="T741" s="4"/>
      <c r="U741" s="4"/>
      <c r="V741" s="4"/>
      <c r="W741" s="4"/>
      <c r="X741" s="4"/>
    </row>
    <row r="742" spans="3:24">
      <c r="C742" s="4"/>
      <c r="D742" s="13"/>
      <c r="E742" s="13"/>
      <c r="F742" s="13"/>
      <c r="G742" s="13"/>
      <c r="H742" s="13"/>
      <c r="I742" s="13"/>
      <c r="J742" s="13"/>
      <c r="K742" s="4"/>
      <c r="L742" s="4"/>
      <c r="M742" s="4"/>
      <c r="Q742" s="4"/>
      <c r="R742" s="4"/>
      <c r="S742" s="4"/>
      <c r="T742" s="4"/>
      <c r="U742" s="4"/>
      <c r="V742" s="4"/>
      <c r="W742" s="4"/>
      <c r="X742" s="4"/>
    </row>
    <row r="743" spans="3:24">
      <c r="C743" s="4"/>
      <c r="D743" s="13"/>
      <c r="E743" s="13"/>
      <c r="F743" s="13"/>
      <c r="G743" s="13"/>
      <c r="H743" s="13"/>
      <c r="I743" s="13"/>
      <c r="J743" s="13"/>
      <c r="K743" s="4"/>
      <c r="L743" s="4"/>
      <c r="M743" s="4"/>
      <c r="Q743" s="4"/>
      <c r="R743" s="4"/>
      <c r="S743" s="4"/>
      <c r="T743" s="4"/>
      <c r="U743" s="4"/>
      <c r="V743" s="4"/>
      <c r="W743" s="4"/>
      <c r="X743" s="4"/>
    </row>
    <row r="744" spans="3:24">
      <c r="C744" s="4"/>
      <c r="D744" s="13"/>
      <c r="E744" s="13"/>
      <c r="F744" s="13"/>
      <c r="G744" s="13"/>
      <c r="H744" s="13"/>
      <c r="I744" s="13"/>
      <c r="J744" s="13"/>
      <c r="K744" s="4"/>
      <c r="L744" s="4"/>
      <c r="M744" s="4"/>
      <c r="Q744" s="4"/>
      <c r="R744" s="4"/>
      <c r="S744" s="4"/>
      <c r="T744" s="4"/>
      <c r="U744" s="4"/>
      <c r="V744" s="4"/>
      <c r="W744" s="4"/>
      <c r="X744" s="4"/>
    </row>
    <row r="745" spans="3:24">
      <c r="C745" s="4"/>
      <c r="D745" s="13"/>
      <c r="E745" s="13"/>
      <c r="F745" s="13"/>
      <c r="G745" s="13"/>
      <c r="H745" s="13"/>
      <c r="I745" s="13"/>
      <c r="J745" s="13"/>
      <c r="K745" s="4"/>
      <c r="L745" s="4"/>
      <c r="M745" s="4"/>
      <c r="Q745" s="4"/>
      <c r="R745" s="4"/>
      <c r="S745" s="4"/>
      <c r="T745" s="4"/>
      <c r="U745" s="4"/>
      <c r="V745" s="4"/>
      <c r="W745" s="4"/>
      <c r="X745" s="4"/>
    </row>
    <row r="746" spans="3:24">
      <c r="C746" s="4"/>
      <c r="D746" s="13"/>
      <c r="E746" s="13"/>
      <c r="F746" s="13"/>
      <c r="G746" s="13"/>
      <c r="H746" s="13"/>
      <c r="I746" s="13"/>
      <c r="J746" s="13"/>
      <c r="K746" s="4"/>
      <c r="L746" s="4"/>
      <c r="M746" s="4"/>
      <c r="Q746" s="4"/>
      <c r="R746" s="4"/>
      <c r="S746" s="4"/>
      <c r="T746" s="4"/>
      <c r="U746" s="4"/>
      <c r="V746" s="4"/>
      <c r="W746" s="4"/>
      <c r="X746" s="4"/>
    </row>
    <row r="747" spans="3:24">
      <c r="C747" s="4"/>
      <c r="D747" s="13"/>
      <c r="E747" s="13"/>
      <c r="F747" s="13"/>
      <c r="G747" s="13"/>
      <c r="H747" s="13"/>
      <c r="I747" s="13"/>
      <c r="J747" s="13"/>
      <c r="K747" s="4"/>
      <c r="L747" s="4"/>
      <c r="M747" s="4"/>
      <c r="Q747" s="4"/>
      <c r="R747" s="4"/>
      <c r="S747" s="4"/>
      <c r="T747" s="4"/>
      <c r="U747" s="4"/>
      <c r="V747" s="4"/>
      <c r="W747" s="4"/>
      <c r="X747" s="4"/>
    </row>
    <row r="748" spans="3:24">
      <c r="C748" s="4"/>
      <c r="D748" s="13"/>
      <c r="E748" s="13"/>
      <c r="F748" s="13"/>
      <c r="G748" s="13"/>
      <c r="H748" s="13"/>
      <c r="I748" s="13"/>
      <c r="J748" s="13"/>
      <c r="K748" s="4"/>
      <c r="L748" s="4"/>
      <c r="M748" s="4"/>
      <c r="Q748" s="4"/>
      <c r="R748" s="4"/>
      <c r="S748" s="4"/>
      <c r="T748" s="4"/>
      <c r="U748" s="4"/>
      <c r="V748" s="4"/>
      <c r="W748" s="4"/>
      <c r="X748" s="4"/>
    </row>
    <row r="749" spans="3:24">
      <c r="C749" s="4"/>
      <c r="D749" s="13"/>
      <c r="E749" s="13"/>
      <c r="F749" s="13"/>
      <c r="G749" s="13"/>
      <c r="H749" s="13"/>
      <c r="I749" s="13"/>
      <c r="J749" s="13"/>
      <c r="K749" s="4"/>
      <c r="L749" s="4"/>
      <c r="M749" s="4"/>
      <c r="Q749" s="4"/>
      <c r="R749" s="4"/>
      <c r="S749" s="4"/>
      <c r="T749" s="4"/>
      <c r="U749" s="4"/>
      <c r="V749" s="4"/>
      <c r="W749" s="4"/>
      <c r="X749" s="4"/>
    </row>
    <row r="750" spans="3:24">
      <c r="C750" s="4"/>
      <c r="D750" s="13"/>
      <c r="E750" s="13"/>
      <c r="F750" s="13"/>
      <c r="G750" s="13"/>
      <c r="H750" s="13"/>
      <c r="I750" s="13"/>
      <c r="J750" s="13"/>
      <c r="K750" s="4"/>
      <c r="L750" s="4"/>
      <c r="M750" s="4"/>
      <c r="Q750" s="4"/>
      <c r="R750" s="4"/>
      <c r="S750" s="4"/>
      <c r="T750" s="4"/>
      <c r="U750" s="4"/>
      <c r="V750" s="4"/>
      <c r="W750" s="4"/>
      <c r="X750" s="4"/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70"/>
  <sheetViews>
    <sheetView zoomScale="93" zoomScaleNormal="93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0.5703125" style="2" customWidth="1"/>
    <col min="15" max="15" width="13.140625" style="6" customWidth="1"/>
    <col min="16" max="16" width="14" style="3" customWidth="1"/>
    <col min="17" max="21" width="6.7109375" style="6" customWidth="1"/>
    <col min="22" max="22" width="9.85546875" style="6" customWidth="1"/>
    <col min="23" max="23" width="13.7109375" style="6" customWidth="1"/>
    <col min="24" max="24" width="11" style="6" customWidth="1"/>
    <col min="25" max="25" width="19.42578125" style="22" customWidth="1"/>
    <col min="26" max="26" width="9.140625" style="1"/>
  </cols>
  <sheetData>
    <row r="1" spans="1:26" s="83" customFormat="1" ht="18.75">
      <c r="A1" s="76"/>
      <c r="B1" s="28" t="s">
        <v>205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7"/>
      <c r="N1" s="78"/>
      <c r="O1" s="79"/>
      <c r="P1" s="15"/>
      <c r="Q1" s="80"/>
      <c r="R1" s="80"/>
      <c r="S1" s="80"/>
      <c r="T1" s="80"/>
      <c r="U1" s="80"/>
      <c r="V1" s="80"/>
      <c r="W1" s="80"/>
      <c r="X1" s="80"/>
      <c r="Y1" s="76"/>
      <c r="Z1" s="81"/>
    </row>
    <row r="2" spans="1:26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146</v>
      </c>
      <c r="P2" s="31"/>
      <c r="Q2" s="11"/>
      <c r="R2" s="11"/>
      <c r="S2" s="11"/>
      <c r="T2" s="11"/>
      <c r="U2" s="11"/>
      <c r="V2" s="11"/>
      <c r="W2" s="11"/>
      <c r="X2" s="11"/>
      <c r="Y2" s="25"/>
    </row>
    <row r="3" spans="1:26">
      <c r="B3" s="104" t="s">
        <v>39</v>
      </c>
      <c r="C3" s="106">
        <v>1</v>
      </c>
      <c r="D3" s="106">
        <v>4</v>
      </c>
      <c r="E3" s="106">
        <v>6</v>
      </c>
      <c r="F3" s="106">
        <v>2</v>
      </c>
      <c r="G3" s="109" t="s">
        <v>49</v>
      </c>
      <c r="H3" s="106">
        <v>1</v>
      </c>
      <c r="I3" s="107">
        <v>3</v>
      </c>
      <c r="J3" s="107">
        <v>2</v>
      </c>
      <c r="K3" s="108">
        <v>3</v>
      </c>
      <c r="L3" s="108">
        <v>2</v>
      </c>
      <c r="M3" s="2"/>
      <c r="N3" s="32" t="s">
        <v>116</v>
      </c>
      <c r="O3" s="5" t="s">
        <v>275</v>
      </c>
      <c r="Y3" s="33"/>
    </row>
    <row r="4" spans="1:26">
      <c r="B4" s="104" t="s">
        <v>40</v>
      </c>
      <c r="C4" s="108">
        <v>2</v>
      </c>
      <c r="D4" s="108">
        <v>4</v>
      </c>
      <c r="E4" s="108">
        <v>4</v>
      </c>
      <c r="F4" s="108">
        <v>6</v>
      </c>
      <c r="G4" s="108">
        <v>1</v>
      </c>
      <c r="H4" s="110">
        <v>12</v>
      </c>
      <c r="I4" s="108">
        <v>6</v>
      </c>
      <c r="J4" s="108">
        <v>2</v>
      </c>
      <c r="K4" s="108">
        <v>2</v>
      </c>
      <c r="L4" s="108">
        <v>6</v>
      </c>
      <c r="M4" s="2"/>
      <c r="N4" s="32" t="s">
        <v>115</v>
      </c>
      <c r="O4" s="5" t="s">
        <v>728</v>
      </c>
      <c r="Y4" s="33"/>
    </row>
    <row r="5" spans="1:26">
      <c r="B5" s="104" t="s">
        <v>41</v>
      </c>
      <c r="C5" s="108">
        <v>3</v>
      </c>
      <c r="D5" s="108">
        <v>1</v>
      </c>
      <c r="E5" s="110">
        <v>8</v>
      </c>
      <c r="F5" s="110">
        <v>7</v>
      </c>
      <c r="G5" s="110">
        <v>7</v>
      </c>
      <c r="H5" s="110">
        <v>4</v>
      </c>
      <c r="I5" s="110">
        <v>2</v>
      </c>
      <c r="J5" s="110">
        <v>3</v>
      </c>
      <c r="K5" s="110">
        <v>5</v>
      </c>
      <c r="L5" s="110">
        <v>5</v>
      </c>
      <c r="M5" s="2"/>
      <c r="N5" s="32" t="s">
        <v>1</v>
      </c>
      <c r="O5" s="21" t="s">
        <v>316</v>
      </c>
      <c r="Y5" s="33"/>
    </row>
    <row r="6" spans="1:26">
      <c r="B6" s="104" t="s">
        <v>42</v>
      </c>
      <c r="C6" s="110">
        <v>4</v>
      </c>
      <c r="D6" s="110">
        <v>4</v>
      </c>
      <c r="E6" s="110">
        <v>5</v>
      </c>
      <c r="F6" s="110">
        <v>4</v>
      </c>
      <c r="G6" s="110">
        <v>9</v>
      </c>
      <c r="H6" s="110">
        <v>9</v>
      </c>
      <c r="I6" s="110">
        <v>8</v>
      </c>
      <c r="J6" s="110">
        <v>9</v>
      </c>
      <c r="K6" s="110">
        <v>8</v>
      </c>
      <c r="L6" s="110">
        <v>9</v>
      </c>
      <c r="M6" s="2"/>
      <c r="N6" s="34" t="s">
        <v>2</v>
      </c>
      <c r="O6" s="35" t="s">
        <v>148</v>
      </c>
      <c r="P6" s="36"/>
      <c r="Q6" s="37"/>
      <c r="R6" s="37"/>
      <c r="S6" s="37"/>
      <c r="T6" s="37"/>
      <c r="U6" s="37"/>
      <c r="V6" s="37"/>
      <c r="W6" s="37"/>
      <c r="X6" s="37"/>
      <c r="Y6" s="38"/>
    </row>
    <row r="7" spans="1:26">
      <c r="B7" s="104" t="s">
        <v>118</v>
      </c>
      <c r="C7" s="110">
        <v>10</v>
      </c>
      <c r="D7" s="110">
        <v>13</v>
      </c>
      <c r="E7" s="108">
        <v>7</v>
      </c>
      <c r="F7" s="108">
        <v>5</v>
      </c>
      <c r="G7" s="91"/>
      <c r="H7" s="91"/>
      <c r="I7" s="91"/>
      <c r="J7" s="91"/>
      <c r="K7" s="91"/>
      <c r="L7" s="92"/>
      <c r="M7" s="2"/>
      <c r="Y7" s="2"/>
    </row>
    <row r="8" spans="1:26">
      <c r="I8" s="4"/>
      <c r="J8" s="4"/>
      <c r="K8" s="4"/>
      <c r="L8" s="4"/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11"/>
      <c r="X8" s="39"/>
      <c r="Y8" s="40"/>
    </row>
    <row r="9" spans="1:26">
      <c r="B9" s="90" t="s">
        <v>35</v>
      </c>
      <c r="C9" s="9"/>
      <c r="D9" s="52" t="s">
        <v>268</v>
      </c>
      <c r="E9" s="53"/>
      <c r="F9" s="53"/>
      <c r="G9" s="84" t="s">
        <v>269</v>
      </c>
      <c r="H9" s="85"/>
      <c r="I9" s="86"/>
      <c r="J9" s="54" t="s">
        <v>220</v>
      </c>
      <c r="K9" s="55"/>
      <c r="L9" s="56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565</v>
      </c>
      <c r="X9" s="96" t="s">
        <v>31</v>
      </c>
      <c r="Y9" s="43"/>
    </row>
    <row r="10" spans="1:26">
      <c r="B10" s="57"/>
      <c r="C10" s="2"/>
      <c r="D10" s="2"/>
      <c r="E10" s="2"/>
      <c r="F10" s="13"/>
      <c r="G10" s="13"/>
      <c r="H10" s="13"/>
      <c r="I10" s="2"/>
      <c r="J10" s="2"/>
      <c r="K10" s="2"/>
      <c r="L10" s="2"/>
      <c r="M10" s="2"/>
      <c r="N10" s="44" t="s">
        <v>147</v>
      </c>
      <c r="O10" s="45">
        <v>37280</v>
      </c>
      <c r="P10" s="4" t="s">
        <v>91</v>
      </c>
      <c r="Q10" s="13">
        <v>38</v>
      </c>
      <c r="R10" s="13">
        <v>2</v>
      </c>
      <c r="S10" s="13">
        <v>0</v>
      </c>
      <c r="T10" s="13">
        <v>42</v>
      </c>
      <c r="U10" s="13">
        <v>156</v>
      </c>
      <c r="V10" s="46">
        <v>0.67</v>
      </c>
      <c r="W10" s="47" t="s">
        <v>205</v>
      </c>
      <c r="X10" s="47" t="s">
        <v>205</v>
      </c>
      <c r="Y10" s="48"/>
    </row>
    <row r="11" spans="1:26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49" t="s">
        <v>668</v>
      </c>
      <c r="O11" s="50">
        <v>35483</v>
      </c>
      <c r="P11" s="4" t="s">
        <v>277</v>
      </c>
      <c r="Q11" s="13">
        <v>103</v>
      </c>
      <c r="R11" s="13">
        <v>5</v>
      </c>
      <c r="S11" s="13">
        <v>101</v>
      </c>
      <c r="T11" s="13">
        <v>47</v>
      </c>
      <c r="U11" s="13">
        <v>328</v>
      </c>
      <c r="V11" s="46">
        <v>0.54600000000000004</v>
      </c>
      <c r="W11" s="47" t="s">
        <v>207</v>
      </c>
      <c r="X11" s="47" t="s">
        <v>305</v>
      </c>
      <c r="Y11" s="48"/>
    </row>
    <row r="12" spans="1:26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9" t="s">
        <v>670</v>
      </c>
      <c r="O12" s="50">
        <v>38226</v>
      </c>
      <c r="P12" s="4" t="s">
        <v>106</v>
      </c>
      <c r="Q12" s="13">
        <v>24</v>
      </c>
      <c r="R12" s="13">
        <v>2</v>
      </c>
      <c r="S12" s="13">
        <v>5</v>
      </c>
      <c r="T12" s="13">
        <v>9</v>
      </c>
      <c r="U12" s="13">
        <v>63</v>
      </c>
      <c r="V12" s="46">
        <v>0.504</v>
      </c>
      <c r="W12" s="47" t="s">
        <v>205</v>
      </c>
      <c r="X12" s="47" t="s">
        <v>107</v>
      </c>
      <c r="Y12" s="48"/>
    </row>
    <row r="13" spans="1:26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9" t="s">
        <v>272</v>
      </c>
      <c r="O13" s="50">
        <v>39035</v>
      </c>
      <c r="P13" s="4" t="s">
        <v>106</v>
      </c>
      <c r="Q13" s="13">
        <v>15</v>
      </c>
      <c r="R13" s="13">
        <v>1</v>
      </c>
      <c r="S13" s="13">
        <v>6</v>
      </c>
      <c r="T13" s="13">
        <v>7</v>
      </c>
      <c r="U13" s="13">
        <v>43</v>
      </c>
      <c r="V13" s="46">
        <v>0.50600000000000001</v>
      </c>
      <c r="W13" s="47" t="s">
        <v>205</v>
      </c>
      <c r="X13" s="47" t="s">
        <v>107</v>
      </c>
      <c r="Y13" s="48"/>
    </row>
    <row r="14" spans="1:26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9" t="s">
        <v>669</v>
      </c>
      <c r="O14" s="50">
        <v>36941</v>
      </c>
      <c r="P14" s="4" t="s">
        <v>674</v>
      </c>
      <c r="Q14" s="13">
        <v>90</v>
      </c>
      <c r="R14" s="13">
        <v>2</v>
      </c>
      <c r="S14" s="13">
        <v>23</v>
      </c>
      <c r="T14" s="13">
        <v>53</v>
      </c>
      <c r="U14" s="13">
        <v>252</v>
      </c>
      <c r="V14" s="46">
        <v>0.52200000000000002</v>
      </c>
      <c r="W14" s="47" t="s">
        <v>675</v>
      </c>
      <c r="X14" s="47" t="s">
        <v>24</v>
      </c>
      <c r="Y14" s="48"/>
    </row>
    <row r="15" spans="1:26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9" t="s">
        <v>325</v>
      </c>
      <c r="O15" s="50">
        <v>37096</v>
      </c>
      <c r="P15" s="4" t="s">
        <v>277</v>
      </c>
      <c r="Q15" s="13">
        <v>82</v>
      </c>
      <c r="R15" s="13">
        <v>7</v>
      </c>
      <c r="S15" s="13">
        <v>42</v>
      </c>
      <c r="T15" s="13">
        <v>63</v>
      </c>
      <c r="U15" s="13">
        <v>337</v>
      </c>
      <c r="V15" s="46">
        <v>0.61099999999999999</v>
      </c>
      <c r="W15" s="47" t="s">
        <v>636</v>
      </c>
      <c r="X15" s="47" t="s">
        <v>305</v>
      </c>
      <c r="Y15" s="48"/>
    </row>
    <row r="16" spans="1:26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9" t="s">
        <v>273</v>
      </c>
      <c r="O16" s="50">
        <v>36894</v>
      </c>
      <c r="P16" s="4" t="s">
        <v>61</v>
      </c>
      <c r="Q16" s="13">
        <v>41</v>
      </c>
      <c r="R16" s="13">
        <v>2</v>
      </c>
      <c r="S16" s="13">
        <v>17</v>
      </c>
      <c r="T16" s="13">
        <v>20</v>
      </c>
      <c r="U16" s="13">
        <v>105</v>
      </c>
      <c r="V16" s="46">
        <v>0.47099999999999997</v>
      </c>
      <c r="W16" s="47" t="s">
        <v>205</v>
      </c>
      <c r="X16" s="47" t="s">
        <v>205</v>
      </c>
      <c r="Y16" s="48"/>
    </row>
    <row r="17" spans="1:2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9" t="s">
        <v>727</v>
      </c>
      <c r="O17" s="50">
        <v>37145</v>
      </c>
      <c r="P17" s="4" t="s">
        <v>770</v>
      </c>
      <c r="Q17" s="13">
        <v>89</v>
      </c>
      <c r="R17" s="13">
        <v>5</v>
      </c>
      <c r="S17" s="13">
        <v>176</v>
      </c>
      <c r="T17" s="13">
        <v>26</v>
      </c>
      <c r="U17" s="13">
        <v>336</v>
      </c>
      <c r="V17" s="46">
        <f>PRODUCT(336/665)</f>
        <v>0.50526315789473686</v>
      </c>
      <c r="W17" s="47" t="s">
        <v>320</v>
      </c>
      <c r="X17" s="47" t="s">
        <v>80</v>
      </c>
      <c r="Y17" s="48"/>
    </row>
    <row r="18" spans="1:2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4" t="s">
        <v>78</v>
      </c>
      <c r="O18" s="50">
        <v>36680</v>
      </c>
      <c r="P18" s="4" t="s">
        <v>79</v>
      </c>
      <c r="Q18" s="13">
        <v>21</v>
      </c>
      <c r="R18" s="13">
        <v>0</v>
      </c>
      <c r="S18" s="13">
        <v>3</v>
      </c>
      <c r="T18" s="13">
        <v>4</v>
      </c>
      <c r="U18" s="13">
        <v>34</v>
      </c>
      <c r="V18" s="46">
        <f>PRODUCT(34/59)</f>
        <v>0.57627118644067798</v>
      </c>
      <c r="W18" s="47" t="s">
        <v>205</v>
      </c>
      <c r="X18" s="47" t="s">
        <v>68</v>
      </c>
      <c r="Y18" s="48"/>
    </row>
    <row r="19" spans="1:2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9" t="s">
        <v>667</v>
      </c>
      <c r="O19" s="50">
        <v>38080</v>
      </c>
      <c r="P19" s="4" t="s">
        <v>26</v>
      </c>
      <c r="Q19" s="13">
        <v>55</v>
      </c>
      <c r="R19" s="13">
        <v>3</v>
      </c>
      <c r="S19" s="13">
        <v>23</v>
      </c>
      <c r="T19" s="13">
        <v>26</v>
      </c>
      <c r="U19" s="13">
        <v>142</v>
      </c>
      <c r="V19" s="46">
        <v>0.49099999999999999</v>
      </c>
      <c r="W19" s="47" t="s">
        <v>206</v>
      </c>
      <c r="X19" s="47" t="s">
        <v>206</v>
      </c>
      <c r="Y19" s="48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59" t="s">
        <v>149</v>
      </c>
      <c r="O20" s="50">
        <v>36508</v>
      </c>
      <c r="P20" s="4" t="s">
        <v>87</v>
      </c>
      <c r="Q20" s="13">
        <v>48</v>
      </c>
      <c r="R20" s="13">
        <v>2</v>
      </c>
      <c r="S20" s="13">
        <v>19</v>
      </c>
      <c r="T20" s="13">
        <v>44</v>
      </c>
      <c r="U20" s="13">
        <v>178</v>
      </c>
      <c r="V20" s="46">
        <v>0.53900000000000003</v>
      </c>
      <c r="W20" s="47" t="s">
        <v>205</v>
      </c>
      <c r="X20" s="47" t="s">
        <v>57</v>
      </c>
      <c r="Y20" s="48"/>
    </row>
    <row r="21" spans="1:25">
      <c r="A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59" t="s">
        <v>671</v>
      </c>
      <c r="O21" s="50">
        <v>37084</v>
      </c>
      <c r="P21" s="4" t="s">
        <v>339</v>
      </c>
      <c r="Q21" s="13">
        <v>87</v>
      </c>
      <c r="R21" s="13">
        <v>1</v>
      </c>
      <c r="S21" s="13">
        <v>65</v>
      </c>
      <c r="T21" s="13">
        <v>25</v>
      </c>
      <c r="U21" s="13">
        <v>246</v>
      </c>
      <c r="V21" s="46">
        <v>0.55200000000000005</v>
      </c>
      <c r="W21" s="47" t="s">
        <v>675</v>
      </c>
      <c r="X21" s="47" t="s">
        <v>57</v>
      </c>
      <c r="Y21" s="48"/>
    </row>
    <row r="22" spans="1:25">
      <c r="A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59" t="s">
        <v>672</v>
      </c>
      <c r="O22" s="50">
        <v>37504</v>
      </c>
      <c r="P22" s="4" t="s">
        <v>327</v>
      </c>
      <c r="Q22" s="13">
        <v>6</v>
      </c>
      <c r="R22" s="13">
        <v>0</v>
      </c>
      <c r="S22" s="13">
        <v>0</v>
      </c>
      <c r="T22" s="13">
        <v>9</v>
      </c>
      <c r="U22" s="13">
        <v>19</v>
      </c>
      <c r="V22" s="46">
        <v>0.55900000000000005</v>
      </c>
      <c r="W22" s="47" t="s">
        <v>617</v>
      </c>
      <c r="X22" s="47" t="s">
        <v>86</v>
      </c>
      <c r="Y22" s="48"/>
    </row>
    <row r="23" spans="1:2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9" t="s">
        <v>336</v>
      </c>
      <c r="O23" s="124">
        <v>37668</v>
      </c>
      <c r="P23" s="4" t="s">
        <v>333</v>
      </c>
      <c r="Q23" s="13">
        <v>25</v>
      </c>
      <c r="R23" s="13">
        <v>3</v>
      </c>
      <c r="S23" s="13">
        <v>4</v>
      </c>
      <c r="T23" s="13">
        <v>44</v>
      </c>
      <c r="U23" s="13">
        <v>131</v>
      </c>
      <c r="V23" s="46">
        <f>PRODUCT(131/192)</f>
        <v>0.68229166666666663</v>
      </c>
      <c r="W23" s="47" t="s">
        <v>622</v>
      </c>
      <c r="X23" s="47" t="s">
        <v>57</v>
      </c>
      <c r="Y23" s="48"/>
    </row>
    <row r="24" spans="1:25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4" t="s">
        <v>274</v>
      </c>
      <c r="O24" s="50">
        <v>37993</v>
      </c>
      <c r="P24" s="4" t="s">
        <v>106</v>
      </c>
      <c r="Q24" s="13">
        <v>36</v>
      </c>
      <c r="R24" s="13">
        <v>3</v>
      </c>
      <c r="S24" s="13">
        <v>35</v>
      </c>
      <c r="T24" s="13">
        <v>7</v>
      </c>
      <c r="U24" s="13">
        <v>83</v>
      </c>
      <c r="V24" s="46">
        <v>0.51200000000000001</v>
      </c>
      <c r="W24" s="47" t="s">
        <v>205</v>
      </c>
      <c r="X24" s="47" t="s">
        <v>276</v>
      </c>
      <c r="Y24" s="48"/>
    </row>
    <row r="25" spans="1:25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4"/>
      <c r="O25" s="11"/>
      <c r="P25" s="31"/>
      <c r="Q25" s="60"/>
      <c r="R25" s="60"/>
      <c r="S25" s="60"/>
      <c r="T25" s="60"/>
      <c r="U25" s="60"/>
      <c r="V25" s="68"/>
      <c r="W25" s="68"/>
      <c r="X25" s="69"/>
      <c r="Y25" s="30"/>
    </row>
    <row r="26" spans="1:25">
      <c r="A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2" t="s">
        <v>221</v>
      </c>
      <c r="O26" s="11"/>
      <c r="P26" s="31"/>
      <c r="Q26" s="11"/>
      <c r="R26" s="11"/>
      <c r="S26" s="11"/>
      <c r="T26" s="11"/>
      <c r="U26" s="11"/>
      <c r="V26" s="11"/>
      <c r="W26" s="11"/>
      <c r="X26" s="70"/>
      <c r="Y26" s="40"/>
    </row>
    <row r="27" spans="1:25" ht="14.25">
      <c r="A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4" t="s">
        <v>5</v>
      </c>
      <c r="O27" s="41" t="s">
        <v>0</v>
      </c>
      <c r="P27" s="3" t="s">
        <v>3</v>
      </c>
      <c r="Q27" s="6" t="s">
        <v>13</v>
      </c>
      <c r="R27" s="6" t="s">
        <v>14</v>
      </c>
      <c r="S27" s="6" t="s">
        <v>15</v>
      </c>
      <c r="T27" s="6" t="s">
        <v>16</v>
      </c>
      <c r="U27" s="6" t="s">
        <v>17</v>
      </c>
      <c r="V27" s="42" t="s">
        <v>18</v>
      </c>
      <c r="W27" s="71" t="s">
        <v>222</v>
      </c>
      <c r="X27" s="19" t="s">
        <v>223</v>
      </c>
      <c r="Y27" s="33"/>
    </row>
    <row r="28" spans="1:25">
      <c r="A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59" t="s">
        <v>149</v>
      </c>
      <c r="O28" s="50">
        <v>36508</v>
      </c>
      <c r="P28" s="4" t="s">
        <v>87</v>
      </c>
      <c r="Q28" s="13">
        <v>24</v>
      </c>
      <c r="R28" s="13">
        <v>0</v>
      </c>
      <c r="S28" s="13">
        <v>4</v>
      </c>
      <c r="T28" s="13">
        <v>13</v>
      </c>
      <c r="U28" s="13">
        <v>77</v>
      </c>
      <c r="V28" s="46">
        <v>0.45</v>
      </c>
      <c r="W28" s="72">
        <v>45.3</v>
      </c>
      <c r="X28" s="156" t="s">
        <v>205</v>
      </c>
      <c r="Y28" s="48"/>
    </row>
    <row r="29" spans="1:25">
      <c r="A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9" t="s">
        <v>668</v>
      </c>
      <c r="O29" s="50">
        <v>35483</v>
      </c>
      <c r="P29" s="4" t="s">
        <v>277</v>
      </c>
      <c r="Q29" s="13">
        <v>26</v>
      </c>
      <c r="R29" s="13">
        <v>1</v>
      </c>
      <c r="S29" s="13">
        <v>15</v>
      </c>
      <c r="T29" s="13">
        <v>4</v>
      </c>
      <c r="U29" s="13">
        <v>37</v>
      </c>
      <c r="V29" s="46">
        <v>0.39800000000000002</v>
      </c>
      <c r="W29" s="72">
        <v>21.3</v>
      </c>
      <c r="X29" s="156" t="s">
        <v>207</v>
      </c>
      <c r="Y29" s="48"/>
    </row>
    <row r="30" spans="1:25">
      <c r="A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9" t="s">
        <v>325</v>
      </c>
      <c r="O30" s="50">
        <v>37096</v>
      </c>
      <c r="P30" s="4" t="s">
        <v>277</v>
      </c>
      <c r="Q30" s="13">
        <v>22</v>
      </c>
      <c r="R30" s="13">
        <v>0</v>
      </c>
      <c r="S30" s="13">
        <v>1</v>
      </c>
      <c r="T30" s="13">
        <v>3</v>
      </c>
      <c r="U30" s="13">
        <v>18</v>
      </c>
      <c r="V30" s="46">
        <v>0.35299999999999998</v>
      </c>
      <c r="W30" s="72">
        <v>16</v>
      </c>
      <c r="X30" s="156" t="s">
        <v>207</v>
      </c>
      <c r="Y30" s="48"/>
    </row>
    <row r="31" spans="1:25">
      <c r="A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4" t="s">
        <v>274</v>
      </c>
      <c r="O31" s="50">
        <v>37993</v>
      </c>
      <c r="P31" s="4" t="s">
        <v>106</v>
      </c>
      <c r="Q31" s="13">
        <v>13</v>
      </c>
      <c r="R31" s="13">
        <v>2</v>
      </c>
      <c r="S31" s="13">
        <v>5</v>
      </c>
      <c r="T31" s="13">
        <v>3</v>
      </c>
      <c r="U31" s="13">
        <v>12</v>
      </c>
      <c r="V31" s="46">
        <v>0.5</v>
      </c>
      <c r="W31" s="72">
        <v>16</v>
      </c>
      <c r="X31" s="156" t="s">
        <v>271</v>
      </c>
      <c r="Y31" s="48"/>
    </row>
    <row r="32" spans="1:25">
      <c r="A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9" t="s">
        <v>273</v>
      </c>
      <c r="O32" s="50">
        <v>36894</v>
      </c>
      <c r="P32" s="4" t="s">
        <v>61</v>
      </c>
      <c r="Q32" s="13">
        <v>17</v>
      </c>
      <c r="R32" s="13">
        <v>0</v>
      </c>
      <c r="S32" s="13">
        <v>2</v>
      </c>
      <c r="T32" s="13">
        <v>9</v>
      </c>
      <c r="U32" s="13">
        <v>27</v>
      </c>
      <c r="V32" s="46">
        <v>0.36499999999999999</v>
      </c>
      <c r="W32" s="72">
        <v>12.3</v>
      </c>
      <c r="X32" s="156" t="s">
        <v>205</v>
      </c>
      <c r="Y32" s="48"/>
    </row>
    <row r="33" spans="1:25">
      <c r="A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4" t="s">
        <v>147</v>
      </c>
      <c r="O33" s="45">
        <v>37280</v>
      </c>
      <c r="P33" s="4" t="s">
        <v>91</v>
      </c>
      <c r="Q33" s="13">
        <v>13</v>
      </c>
      <c r="R33" s="13">
        <v>0</v>
      </c>
      <c r="S33" s="13">
        <v>0</v>
      </c>
      <c r="T33" s="13">
        <v>3</v>
      </c>
      <c r="U33" s="13">
        <v>16</v>
      </c>
      <c r="V33" s="46">
        <v>0.20300000000000001</v>
      </c>
      <c r="W33" s="72">
        <v>11.7</v>
      </c>
      <c r="X33" s="156" t="s">
        <v>205</v>
      </c>
      <c r="Y33" s="48"/>
    </row>
    <row r="34" spans="1:25">
      <c r="A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59" t="s">
        <v>671</v>
      </c>
      <c r="O34" s="50">
        <v>37084</v>
      </c>
      <c r="P34" s="4" t="s">
        <v>339</v>
      </c>
      <c r="Q34" s="13">
        <v>5</v>
      </c>
      <c r="R34" s="13">
        <v>0</v>
      </c>
      <c r="S34" s="13">
        <v>2</v>
      </c>
      <c r="T34" s="13">
        <v>0</v>
      </c>
      <c r="U34" s="13">
        <v>5</v>
      </c>
      <c r="V34" s="46">
        <v>0.313</v>
      </c>
      <c r="W34" s="72">
        <v>4.7</v>
      </c>
      <c r="X34" s="156" t="s">
        <v>676</v>
      </c>
      <c r="Y34" s="48"/>
    </row>
    <row r="35" spans="1:25">
      <c r="A35" s="1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9" t="s">
        <v>669</v>
      </c>
      <c r="O35" s="50">
        <v>36941</v>
      </c>
      <c r="P35" s="4" t="s">
        <v>674</v>
      </c>
      <c r="Q35" s="13">
        <v>3</v>
      </c>
      <c r="R35" s="13">
        <v>0</v>
      </c>
      <c r="S35" s="13">
        <v>0</v>
      </c>
      <c r="T35" s="13">
        <v>0</v>
      </c>
      <c r="U35" s="13">
        <v>4</v>
      </c>
      <c r="V35" s="46">
        <v>0.5</v>
      </c>
      <c r="W35" s="72">
        <v>2.2999999999999998</v>
      </c>
      <c r="X35" s="156" t="s">
        <v>675</v>
      </c>
      <c r="Y35" s="48"/>
    </row>
    <row r="36" spans="1:25">
      <c r="A36" s="1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9" t="s">
        <v>272</v>
      </c>
      <c r="O36" s="50">
        <v>39035</v>
      </c>
      <c r="P36" s="4" t="s">
        <v>106</v>
      </c>
      <c r="Q36" s="13">
        <v>1</v>
      </c>
      <c r="R36" s="13">
        <v>0</v>
      </c>
      <c r="S36" s="13">
        <v>0</v>
      </c>
      <c r="T36" s="13">
        <v>0</v>
      </c>
      <c r="U36" s="13">
        <v>1</v>
      </c>
      <c r="V36" s="46">
        <v>0.5</v>
      </c>
      <c r="W36" s="72">
        <v>0.7</v>
      </c>
      <c r="X36" s="156" t="s">
        <v>271</v>
      </c>
      <c r="Y36" s="48"/>
    </row>
    <row r="37" spans="1:25" ht="14.25">
      <c r="A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4"/>
      <c r="O37" s="11"/>
      <c r="P37" s="24"/>
      <c r="Q37" s="11"/>
      <c r="R37" s="11"/>
      <c r="S37" s="11"/>
      <c r="T37" s="11"/>
      <c r="U37" s="11"/>
      <c r="V37" s="11"/>
      <c r="W37" s="11"/>
      <c r="X37" s="24"/>
      <c r="Y37" s="24"/>
    </row>
    <row r="38" spans="1:25" ht="14.25">
      <c r="A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P38" s="2"/>
      <c r="X38" s="2"/>
      <c r="Y38" s="2"/>
    </row>
    <row r="39" spans="1:25" ht="14.25">
      <c r="A39" s="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2"/>
      <c r="X39" s="2"/>
      <c r="Y39" s="2"/>
    </row>
    <row r="40" spans="1:25" ht="14.25">
      <c r="A40" s="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"/>
      <c r="X40" s="2"/>
      <c r="Y40" s="2"/>
    </row>
    <row r="41" spans="1:25" ht="14.25">
      <c r="A41" s="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P41" s="2"/>
      <c r="X41" s="2"/>
      <c r="Y41" s="2"/>
    </row>
    <row r="42" spans="1: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X42" s="2"/>
      <c r="Y42" s="2"/>
    </row>
    <row r="43" spans="1: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X43" s="2"/>
      <c r="Y43" s="2"/>
    </row>
    <row r="44" spans="1: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P44" s="2"/>
      <c r="X44" s="2"/>
      <c r="Y44" s="2"/>
    </row>
    <row r="45" spans="1: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P45" s="2"/>
      <c r="X45" s="2"/>
      <c r="Y45" s="2"/>
    </row>
    <row r="46" spans="1: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P46" s="2"/>
      <c r="X46" s="2"/>
      <c r="Y46" s="2"/>
    </row>
    <row r="47" spans="1: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P47" s="2"/>
      <c r="X47" s="2"/>
      <c r="Y47" s="2"/>
    </row>
    <row r="48" spans="1: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P48" s="2"/>
      <c r="X48" s="2"/>
      <c r="Y48" s="2"/>
    </row>
    <row r="49" spans="3: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P49" s="2"/>
      <c r="X49" s="2"/>
      <c r="Y49" s="2"/>
    </row>
    <row r="50" spans="3: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P50" s="2"/>
      <c r="X50" s="2"/>
      <c r="Y50" s="2"/>
    </row>
    <row r="51" spans="3: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P51" s="2"/>
      <c r="X51" s="2"/>
      <c r="Y51" s="2"/>
    </row>
    <row r="52" spans="3:2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P52" s="2"/>
      <c r="X52" s="2"/>
      <c r="Y52" s="2"/>
    </row>
    <row r="53" spans="3:2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P53" s="2"/>
      <c r="X53" s="2"/>
      <c r="Y53" s="2"/>
    </row>
    <row r="54" spans="3:2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P54" s="2"/>
      <c r="X54" s="2"/>
      <c r="Y54" s="2"/>
    </row>
    <row r="55" spans="3:2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P55" s="2"/>
      <c r="X55" s="2"/>
      <c r="Y55" s="2"/>
    </row>
    <row r="56" spans="3:2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P56" s="2"/>
      <c r="X56" s="2"/>
      <c r="Y56" s="2"/>
    </row>
    <row r="57" spans="3:2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P57" s="2"/>
      <c r="X57" s="2"/>
      <c r="Y57" s="2"/>
    </row>
    <row r="58" spans="3:2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P58" s="2"/>
      <c r="X58" s="2"/>
      <c r="Y58" s="2"/>
    </row>
    <row r="59" spans="3:2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P59" s="2"/>
      <c r="X59" s="2"/>
      <c r="Y59" s="2"/>
    </row>
    <row r="60" spans="3:25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P60" s="2"/>
      <c r="X60" s="2"/>
      <c r="Y60" s="2"/>
    </row>
    <row r="61" spans="3:25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P61" s="2"/>
      <c r="X61" s="2"/>
      <c r="Y61" s="2"/>
    </row>
    <row r="62" spans="3:2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P62" s="2"/>
      <c r="X62" s="2"/>
      <c r="Y62" s="2"/>
    </row>
    <row r="63" spans="3:2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P63" s="2"/>
      <c r="X63" s="2"/>
      <c r="Y63" s="2"/>
    </row>
    <row r="64" spans="3:25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P64" s="2"/>
      <c r="X64" s="2"/>
      <c r="Y64" s="2"/>
    </row>
    <row r="65" spans="3:25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P65" s="2"/>
      <c r="X65" s="2"/>
      <c r="Y65" s="2"/>
    </row>
    <row r="66" spans="3:25">
      <c r="P66" s="2"/>
      <c r="X66" s="2"/>
      <c r="Y66" s="2"/>
    </row>
    <row r="67" spans="3:25">
      <c r="P67" s="2"/>
      <c r="X67" s="2"/>
      <c r="Y67" s="2"/>
    </row>
    <row r="68" spans="3:25">
      <c r="P68" s="2"/>
      <c r="X68" s="2"/>
      <c r="Y68" s="2"/>
    </row>
    <row r="69" spans="3:25">
      <c r="P69" s="2"/>
      <c r="X69" s="2"/>
      <c r="Y69" s="2"/>
    </row>
    <row r="70" spans="3:25">
      <c r="P70" s="2"/>
      <c r="X70" s="2"/>
      <c r="Y70" s="2"/>
    </row>
  </sheetData>
  <sortState xmlns:xlrd2="http://schemas.microsoft.com/office/spreadsheetml/2017/richdata2" ref="N28:X36">
    <sortCondition descending="1" ref="W28:W36"/>
  </sortState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ul1"/>
  <dimension ref="A1:Z59"/>
  <sheetViews>
    <sheetView zoomScale="93" zoomScaleNormal="93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2.85546875" style="2" customWidth="1"/>
    <col min="15" max="15" width="13.140625" style="6" customWidth="1"/>
    <col min="16" max="16" width="12.85546875" style="3" bestFit="1" customWidth="1"/>
    <col min="17" max="21" width="6.7109375" style="6" customWidth="1"/>
    <col min="22" max="23" width="9.85546875" style="6" customWidth="1"/>
    <col min="24" max="24" width="11" style="6" customWidth="1"/>
    <col min="25" max="25" width="23.42578125" style="22" bestFit="1" customWidth="1"/>
    <col min="26" max="26" width="9.140625" style="1"/>
    <col min="27" max="16384" width="9.140625" style="4"/>
  </cols>
  <sheetData>
    <row r="1" spans="1:26" s="2" customFormat="1" ht="18.75">
      <c r="A1" s="21"/>
      <c r="B1" s="28" t="s">
        <v>30</v>
      </c>
      <c r="C1" s="28"/>
      <c r="D1" s="28"/>
      <c r="E1" s="28"/>
      <c r="F1" s="28"/>
      <c r="G1" s="28"/>
      <c r="H1" s="28"/>
      <c r="I1" s="28"/>
      <c r="J1" s="28"/>
      <c r="K1" s="28"/>
      <c r="L1" s="28"/>
      <c r="N1" s="19"/>
      <c r="O1" s="6"/>
      <c r="P1" s="3"/>
      <c r="Q1" s="13"/>
      <c r="R1" s="13"/>
      <c r="S1" s="13"/>
      <c r="T1" s="13"/>
      <c r="U1" s="13"/>
      <c r="V1" s="13"/>
      <c r="W1" s="13"/>
      <c r="X1" s="13"/>
      <c r="Y1" s="21"/>
      <c r="Z1" s="1"/>
    </row>
    <row r="2" spans="1:26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102</v>
      </c>
      <c r="P2" s="31"/>
      <c r="Q2" s="11"/>
      <c r="R2" s="11"/>
      <c r="S2" s="11"/>
      <c r="T2" s="11"/>
      <c r="U2" s="11"/>
      <c r="V2" s="11"/>
      <c r="W2" s="11"/>
      <c r="X2" s="11"/>
      <c r="Y2" s="25"/>
    </row>
    <row r="3" spans="1:26">
      <c r="B3" s="104" t="s">
        <v>39</v>
      </c>
      <c r="C3" s="109" t="s">
        <v>36</v>
      </c>
      <c r="D3" s="109" t="s">
        <v>36</v>
      </c>
      <c r="E3" s="109" t="s">
        <v>36</v>
      </c>
      <c r="F3" s="109" t="s">
        <v>36</v>
      </c>
      <c r="G3" s="106">
        <v>3</v>
      </c>
      <c r="H3" s="106">
        <v>1</v>
      </c>
      <c r="I3" s="107">
        <v>3</v>
      </c>
      <c r="J3" s="107">
        <v>4</v>
      </c>
      <c r="K3" s="107">
        <v>8</v>
      </c>
      <c r="L3" s="106">
        <v>1</v>
      </c>
      <c r="M3" s="2"/>
      <c r="N3" s="32" t="s">
        <v>116</v>
      </c>
      <c r="O3" s="5" t="s">
        <v>576</v>
      </c>
      <c r="Y3" s="33"/>
    </row>
    <row r="4" spans="1:26">
      <c r="B4" s="104" t="s">
        <v>40</v>
      </c>
      <c r="C4" s="107">
        <v>6</v>
      </c>
      <c r="D4" s="107">
        <v>8</v>
      </c>
      <c r="E4" s="106">
        <v>2</v>
      </c>
      <c r="F4" s="109" t="s">
        <v>36</v>
      </c>
      <c r="G4" s="109" t="s">
        <v>36</v>
      </c>
      <c r="H4" s="107">
        <v>4</v>
      </c>
      <c r="I4" s="107">
        <v>2</v>
      </c>
      <c r="J4" s="108">
        <v>5</v>
      </c>
      <c r="K4" s="108">
        <v>2</v>
      </c>
      <c r="L4" s="108">
        <v>1</v>
      </c>
      <c r="M4" s="2"/>
      <c r="N4" s="32" t="s">
        <v>115</v>
      </c>
      <c r="O4" s="5" t="s">
        <v>577</v>
      </c>
      <c r="Y4" s="33"/>
    </row>
    <row r="5" spans="1:26">
      <c r="B5" s="104" t="s">
        <v>41</v>
      </c>
      <c r="C5" s="110">
        <v>1</v>
      </c>
      <c r="D5" s="110">
        <v>4</v>
      </c>
      <c r="E5" s="110">
        <v>4</v>
      </c>
      <c r="F5" s="110">
        <v>10</v>
      </c>
      <c r="G5" s="106">
        <v>3</v>
      </c>
      <c r="H5" s="106">
        <v>3</v>
      </c>
      <c r="I5" s="106">
        <v>1</v>
      </c>
      <c r="J5" s="107">
        <v>2</v>
      </c>
      <c r="K5" s="108">
        <v>5</v>
      </c>
      <c r="L5" s="108">
        <v>5</v>
      </c>
      <c r="M5" s="2"/>
      <c r="N5" s="32" t="s">
        <v>1</v>
      </c>
      <c r="O5" s="21" t="s">
        <v>315</v>
      </c>
      <c r="Y5" s="33"/>
    </row>
    <row r="6" spans="1:26">
      <c r="B6" s="104" t="s">
        <v>42</v>
      </c>
      <c r="C6" s="108">
        <v>5</v>
      </c>
      <c r="D6" s="108">
        <v>6</v>
      </c>
      <c r="E6" s="107">
        <v>8</v>
      </c>
      <c r="F6" s="107">
        <v>1</v>
      </c>
      <c r="G6" s="108">
        <v>5</v>
      </c>
      <c r="H6" s="112" t="s">
        <v>49</v>
      </c>
      <c r="I6" s="107">
        <v>2</v>
      </c>
      <c r="J6" s="107">
        <v>8</v>
      </c>
      <c r="K6" s="107">
        <v>6</v>
      </c>
      <c r="L6" s="107">
        <v>2</v>
      </c>
      <c r="M6" s="2"/>
      <c r="N6" s="34" t="s">
        <v>2</v>
      </c>
      <c r="O6" s="35" t="s">
        <v>103</v>
      </c>
      <c r="P6" s="36"/>
      <c r="Q6" s="37"/>
      <c r="R6" s="37"/>
      <c r="S6" s="37"/>
      <c r="T6" s="37"/>
      <c r="U6" s="37"/>
      <c r="V6" s="37"/>
      <c r="W6" s="37"/>
      <c r="X6" s="37"/>
      <c r="Y6" s="38"/>
    </row>
    <row r="7" spans="1:26">
      <c r="B7" s="104" t="s">
        <v>118</v>
      </c>
      <c r="C7" s="108">
        <v>3</v>
      </c>
      <c r="D7" s="108">
        <v>13</v>
      </c>
      <c r="E7" s="108">
        <v>4</v>
      </c>
      <c r="F7" s="108">
        <v>7</v>
      </c>
      <c r="G7" s="91"/>
      <c r="H7" s="91"/>
      <c r="I7" s="91"/>
      <c r="J7" s="91"/>
      <c r="K7" s="91"/>
      <c r="L7" s="92"/>
      <c r="M7" s="2"/>
      <c r="Y7" s="2"/>
    </row>
    <row r="8" spans="1:26">
      <c r="I8" s="4"/>
      <c r="J8" s="4"/>
      <c r="K8" s="4"/>
      <c r="L8" s="4"/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11"/>
      <c r="X8" s="39"/>
      <c r="Y8" s="40"/>
    </row>
    <row r="9" spans="1:26">
      <c r="B9" s="90" t="s">
        <v>35</v>
      </c>
      <c r="C9" s="9"/>
      <c r="D9" s="52" t="s">
        <v>268</v>
      </c>
      <c r="E9" s="53"/>
      <c r="F9" s="53"/>
      <c r="G9" s="84" t="s">
        <v>269</v>
      </c>
      <c r="H9" s="85"/>
      <c r="I9" s="86"/>
      <c r="J9" s="54" t="s">
        <v>220</v>
      </c>
      <c r="K9" s="55"/>
      <c r="L9" s="56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565</v>
      </c>
      <c r="X9" s="96" t="s">
        <v>31</v>
      </c>
      <c r="Y9" s="43"/>
    </row>
    <row r="10" spans="1:26">
      <c r="B10" s="57"/>
      <c r="C10" s="2"/>
      <c r="D10" s="2"/>
      <c r="E10" s="2"/>
      <c r="F10" s="13"/>
      <c r="G10" s="13"/>
      <c r="H10" s="13"/>
      <c r="I10" s="2"/>
      <c r="J10" s="2"/>
      <c r="K10" s="2"/>
      <c r="L10" s="2"/>
      <c r="M10" s="2"/>
      <c r="N10" s="49" t="s">
        <v>104</v>
      </c>
      <c r="O10" s="50">
        <v>35956</v>
      </c>
      <c r="P10" s="4" t="s">
        <v>61</v>
      </c>
      <c r="Q10" s="13">
        <v>82</v>
      </c>
      <c r="R10" s="13">
        <v>15</v>
      </c>
      <c r="S10" s="13">
        <v>121</v>
      </c>
      <c r="T10" s="13">
        <v>50</v>
      </c>
      <c r="U10" s="13">
        <v>360</v>
      </c>
      <c r="V10" s="46">
        <v>0.60299999999999998</v>
      </c>
      <c r="W10" s="47" t="s">
        <v>623</v>
      </c>
      <c r="X10" s="47" t="s">
        <v>30</v>
      </c>
      <c r="Y10" s="48"/>
    </row>
    <row r="11" spans="1:26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59" t="s">
        <v>192</v>
      </c>
      <c r="O11" s="50">
        <v>38134</v>
      </c>
      <c r="P11" s="4" t="s">
        <v>50</v>
      </c>
      <c r="Q11" s="13">
        <v>28</v>
      </c>
      <c r="R11" s="13">
        <v>3</v>
      </c>
      <c r="S11" s="13">
        <v>15</v>
      </c>
      <c r="T11" s="13">
        <v>16</v>
      </c>
      <c r="U11" s="13">
        <v>86</v>
      </c>
      <c r="V11" s="46">
        <v>0.66700000000000004</v>
      </c>
      <c r="W11" s="47" t="s">
        <v>623</v>
      </c>
      <c r="X11" s="47" t="s">
        <v>60</v>
      </c>
      <c r="Y11" s="48"/>
    </row>
    <row r="12" spans="1:26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4" t="s">
        <v>201</v>
      </c>
      <c r="O12" s="45">
        <v>38580</v>
      </c>
      <c r="P12" s="16" t="s">
        <v>61</v>
      </c>
      <c r="Q12" s="13">
        <v>18</v>
      </c>
      <c r="R12" s="13">
        <v>0</v>
      </c>
      <c r="S12" s="13">
        <v>6</v>
      </c>
      <c r="T12" s="13">
        <v>3</v>
      </c>
      <c r="U12" s="13">
        <v>31</v>
      </c>
      <c r="V12" s="46">
        <v>0.57399999999999995</v>
      </c>
      <c r="W12" s="47" t="s">
        <v>623</v>
      </c>
      <c r="X12" s="47" t="s">
        <v>613</v>
      </c>
      <c r="Y12" s="51"/>
    </row>
    <row r="13" spans="1:26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9" t="s">
        <v>100</v>
      </c>
      <c r="O13" s="50">
        <v>36284</v>
      </c>
      <c r="P13" s="4" t="s">
        <v>85</v>
      </c>
      <c r="Q13" s="13">
        <v>66</v>
      </c>
      <c r="R13" s="13">
        <v>1</v>
      </c>
      <c r="S13" s="13">
        <v>47</v>
      </c>
      <c r="T13" s="13">
        <v>20</v>
      </c>
      <c r="U13" s="13">
        <v>152</v>
      </c>
      <c r="V13" s="46">
        <v>0.47399999999999998</v>
      </c>
      <c r="W13" s="47" t="s">
        <v>623</v>
      </c>
      <c r="X13" s="47" t="s">
        <v>59</v>
      </c>
      <c r="Y13" s="48"/>
    </row>
    <row r="14" spans="1:26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9" t="s">
        <v>570</v>
      </c>
      <c r="O14" s="50">
        <v>39145</v>
      </c>
      <c r="P14" s="4" t="s">
        <v>61</v>
      </c>
      <c r="Q14" s="13"/>
      <c r="R14" s="13"/>
      <c r="S14" s="13"/>
      <c r="T14" s="13"/>
      <c r="U14" s="13"/>
      <c r="V14" s="46"/>
      <c r="W14" s="47"/>
      <c r="X14" s="47" t="s">
        <v>613</v>
      </c>
      <c r="Y14" s="48"/>
    </row>
    <row r="15" spans="1:26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59" t="s">
        <v>278</v>
      </c>
      <c r="O15" s="50">
        <v>38036</v>
      </c>
      <c r="P15" s="4" t="s">
        <v>12</v>
      </c>
      <c r="Q15" s="13">
        <v>25</v>
      </c>
      <c r="R15" s="13">
        <v>0</v>
      </c>
      <c r="S15" s="13">
        <v>1</v>
      </c>
      <c r="T15" s="13">
        <v>25</v>
      </c>
      <c r="U15" s="13">
        <v>65</v>
      </c>
      <c r="V15" s="46">
        <v>0.57999999999999996</v>
      </c>
      <c r="W15" s="47" t="s">
        <v>623</v>
      </c>
      <c r="X15" s="47" t="s">
        <v>51</v>
      </c>
      <c r="Y15" s="48"/>
    </row>
    <row r="16" spans="1:26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59" t="s">
        <v>571</v>
      </c>
      <c r="O16" s="50">
        <v>34879</v>
      </c>
      <c r="P16" s="4" t="s">
        <v>105</v>
      </c>
      <c r="Q16" s="13">
        <v>32</v>
      </c>
      <c r="R16" s="13">
        <v>7</v>
      </c>
      <c r="S16" s="13">
        <v>59</v>
      </c>
      <c r="T16" s="13">
        <v>29</v>
      </c>
      <c r="U16" s="13">
        <v>136</v>
      </c>
      <c r="V16" s="46">
        <v>0.59099999999999997</v>
      </c>
      <c r="W16" s="47" t="s">
        <v>617</v>
      </c>
      <c r="X16" s="47" t="s">
        <v>30</v>
      </c>
      <c r="Y16" s="48"/>
    </row>
    <row r="17" spans="1:2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59" t="s">
        <v>572</v>
      </c>
      <c r="O17" s="50">
        <v>37686</v>
      </c>
      <c r="P17" s="4" t="s">
        <v>61</v>
      </c>
      <c r="Q17" s="13">
        <v>35</v>
      </c>
      <c r="R17" s="13">
        <v>0</v>
      </c>
      <c r="S17" s="13">
        <v>3</v>
      </c>
      <c r="T17" s="13">
        <v>14</v>
      </c>
      <c r="U17" s="13">
        <v>84</v>
      </c>
      <c r="V17" s="46">
        <v>0.55600000000000005</v>
      </c>
      <c r="W17" s="47" t="s">
        <v>617</v>
      </c>
      <c r="X17" s="47" t="s">
        <v>30</v>
      </c>
      <c r="Y17" s="48"/>
    </row>
    <row r="18" spans="1:2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9" t="s">
        <v>194</v>
      </c>
      <c r="O18" s="50">
        <v>38544</v>
      </c>
      <c r="P18" s="4" t="s">
        <v>61</v>
      </c>
      <c r="Q18" s="13">
        <v>63</v>
      </c>
      <c r="R18" s="13">
        <v>2</v>
      </c>
      <c r="S18" s="13">
        <v>16</v>
      </c>
      <c r="T18" s="13">
        <v>25</v>
      </c>
      <c r="U18" s="13">
        <v>166</v>
      </c>
      <c r="V18" s="46">
        <v>0.55000000000000004</v>
      </c>
      <c r="W18" s="47" t="s">
        <v>623</v>
      </c>
      <c r="X18" s="47" t="s">
        <v>613</v>
      </c>
      <c r="Y18" s="48"/>
    </row>
    <row r="19" spans="1:2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9" t="s">
        <v>573</v>
      </c>
      <c r="O19" s="50">
        <v>39258</v>
      </c>
      <c r="P19" s="4" t="s">
        <v>61</v>
      </c>
      <c r="Q19" s="13">
        <v>11</v>
      </c>
      <c r="R19" s="13">
        <v>1</v>
      </c>
      <c r="S19" s="13">
        <v>6</v>
      </c>
      <c r="T19" s="13">
        <v>9</v>
      </c>
      <c r="U19" s="13">
        <v>27</v>
      </c>
      <c r="V19" s="46">
        <v>0.58699999999999997</v>
      </c>
      <c r="W19" s="47" t="s">
        <v>623</v>
      </c>
      <c r="X19" s="47" t="s">
        <v>613</v>
      </c>
      <c r="Y19" s="48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9" t="s">
        <v>195</v>
      </c>
      <c r="O20" s="58">
        <v>38502</v>
      </c>
      <c r="P20" s="20" t="s">
        <v>61</v>
      </c>
      <c r="Q20" s="13">
        <v>64</v>
      </c>
      <c r="R20" s="13">
        <v>3</v>
      </c>
      <c r="S20" s="13">
        <v>16</v>
      </c>
      <c r="T20" s="13">
        <v>46</v>
      </c>
      <c r="U20" s="13">
        <v>197</v>
      </c>
      <c r="V20" s="46">
        <v>0.53</v>
      </c>
      <c r="W20" s="47" t="s">
        <v>623</v>
      </c>
      <c r="X20" s="47" t="s">
        <v>613</v>
      </c>
      <c r="Y20" s="48"/>
    </row>
    <row r="21" spans="1:25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9" t="s">
        <v>574</v>
      </c>
      <c r="O21" s="50">
        <v>39177</v>
      </c>
      <c r="P21" s="4" t="s">
        <v>61</v>
      </c>
      <c r="Q21" s="13">
        <v>1</v>
      </c>
      <c r="R21" s="13">
        <v>0</v>
      </c>
      <c r="S21" s="13">
        <v>0</v>
      </c>
      <c r="T21" s="13">
        <v>1</v>
      </c>
      <c r="U21" s="13">
        <v>0</v>
      </c>
      <c r="V21" s="46">
        <v>0</v>
      </c>
      <c r="W21" s="47" t="s">
        <v>623</v>
      </c>
      <c r="X21" s="47" t="s">
        <v>613</v>
      </c>
      <c r="Y21" s="48"/>
    </row>
    <row r="22" spans="1:25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9" t="s">
        <v>575</v>
      </c>
      <c r="O22" s="58">
        <v>38387</v>
      </c>
      <c r="P22" s="20" t="s">
        <v>12</v>
      </c>
      <c r="Q22" s="13">
        <v>20</v>
      </c>
      <c r="R22" s="13">
        <v>1</v>
      </c>
      <c r="S22" s="13">
        <v>8</v>
      </c>
      <c r="T22" s="13">
        <v>30</v>
      </c>
      <c r="U22" s="13">
        <v>98</v>
      </c>
      <c r="V22" s="46">
        <v>0.69499999999999995</v>
      </c>
      <c r="W22" s="47" t="s">
        <v>252</v>
      </c>
      <c r="X22" s="47" t="s">
        <v>60</v>
      </c>
      <c r="Y22" s="48"/>
    </row>
    <row r="23" spans="1:25">
      <c r="A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59" t="s">
        <v>173</v>
      </c>
      <c r="O23" s="50">
        <v>37430</v>
      </c>
      <c r="P23" s="4" t="s">
        <v>79</v>
      </c>
      <c r="Q23" s="13">
        <v>76</v>
      </c>
      <c r="R23" s="13">
        <v>3</v>
      </c>
      <c r="S23" s="13">
        <v>21</v>
      </c>
      <c r="T23" s="13">
        <v>92</v>
      </c>
      <c r="U23" s="13">
        <v>308</v>
      </c>
      <c r="V23" s="46">
        <v>0.57799999999999996</v>
      </c>
      <c r="W23" s="47" t="s">
        <v>623</v>
      </c>
      <c r="X23" s="47" t="s">
        <v>68</v>
      </c>
      <c r="Y23" s="48"/>
    </row>
    <row r="24" spans="1:25">
      <c r="A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59" t="s">
        <v>267</v>
      </c>
      <c r="O24" s="50">
        <v>36288</v>
      </c>
      <c r="P24" s="4" t="s">
        <v>105</v>
      </c>
      <c r="Q24" s="13">
        <v>93</v>
      </c>
      <c r="R24" s="13">
        <v>0</v>
      </c>
      <c r="S24" s="13">
        <v>38</v>
      </c>
      <c r="T24" s="13">
        <v>57</v>
      </c>
      <c r="U24" s="13">
        <v>396</v>
      </c>
      <c r="V24" s="46">
        <v>0.64400000000000002</v>
      </c>
      <c r="W24" s="66" t="s">
        <v>623</v>
      </c>
      <c r="X24" s="47" t="s">
        <v>30</v>
      </c>
      <c r="Y24" s="48"/>
    </row>
    <row r="25" spans="1:25">
      <c r="A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4"/>
      <c r="O25" s="11"/>
      <c r="P25" s="31"/>
      <c r="Q25" s="60"/>
      <c r="R25" s="60"/>
      <c r="S25" s="60"/>
      <c r="T25" s="60"/>
      <c r="U25" s="60"/>
      <c r="V25" s="68"/>
      <c r="W25" s="68"/>
      <c r="X25" s="69"/>
      <c r="Y25" s="30"/>
    </row>
    <row r="26" spans="1:25">
      <c r="A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2" t="s">
        <v>221</v>
      </c>
      <c r="O26" s="11"/>
      <c r="P26" s="31"/>
      <c r="Q26" s="11"/>
      <c r="R26" s="11"/>
      <c r="S26" s="11"/>
      <c r="T26" s="11"/>
      <c r="U26" s="11"/>
      <c r="V26" s="11"/>
      <c r="W26" s="11"/>
      <c r="X26" s="70"/>
      <c r="Y26" s="40"/>
    </row>
    <row r="27" spans="1:25">
      <c r="A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4" t="s">
        <v>5</v>
      </c>
      <c r="O27" s="41" t="s">
        <v>0</v>
      </c>
      <c r="P27" s="3" t="s">
        <v>3</v>
      </c>
      <c r="Q27" s="6" t="s">
        <v>13</v>
      </c>
      <c r="R27" s="6" t="s">
        <v>14</v>
      </c>
      <c r="S27" s="6" t="s">
        <v>15</v>
      </c>
      <c r="T27" s="6" t="s">
        <v>16</v>
      </c>
      <c r="U27" s="6" t="s">
        <v>17</v>
      </c>
      <c r="V27" s="42" t="s">
        <v>18</v>
      </c>
      <c r="W27" s="71" t="s">
        <v>222</v>
      </c>
      <c r="X27" s="19" t="s">
        <v>223</v>
      </c>
      <c r="Y27" s="33"/>
    </row>
    <row r="28" spans="1:25">
      <c r="A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59" t="s">
        <v>571</v>
      </c>
      <c r="O28" s="50">
        <v>34879</v>
      </c>
      <c r="P28" s="4" t="s">
        <v>105</v>
      </c>
      <c r="Q28" s="13">
        <v>80</v>
      </c>
      <c r="R28" s="13">
        <v>2</v>
      </c>
      <c r="S28" s="13">
        <v>80</v>
      </c>
      <c r="T28" s="13">
        <v>21</v>
      </c>
      <c r="U28" s="13">
        <v>225</v>
      </c>
      <c r="V28" s="46">
        <v>0.44</v>
      </c>
      <c r="W28" s="72">
        <v>170.7</v>
      </c>
      <c r="X28" s="156" t="s">
        <v>252</v>
      </c>
      <c r="Y28" s="48"/>
    </row>
    <row r="29" spans="1:25">
      <c r="A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9" t="s">
        <v>575</v>
      </c>
      <c r="O29" s="58">
        <v>38387</v>
      </c>
      <c r="P29" s="20" t="s">
        <v>12</v>
      </c>
      <c r="Q29" s="13">
        <v>30</v>
      </c>
      <c r="R29" s="13">
        <v>1</v>
      </c>
      <c r="S29" s="13">
        <v>1</v>
      </c>
      <c r="T29" s="13">
        <v>13</v>
      </c>
      <c r="U29" s="13">
        <v>68</v>
      </c>
      <c r="V29" s="46">
        <v>0.5</v>
      </c>
      <c r="W29" s="72">
        <v>47</v>
      </c>
      <c r="X29" s="156" t="s">
        <v>252</v>
      </c>
      <c r="Y29" s="48"/>
    </row>
    <row r="30" spans="1:25">
      <c r="A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9" t="s">
        <v>100</v>
      </c>
      <c r="O30" s="50">
        <v>36284</v>
      </c>
      <c r="P30" s="4" t="s">
        <v>85</v>
      </c>
      <c r="Q30" s="13">
        <v>13</v>
      </c>
      <c r="R30" s="13">
        <v>0</v>
      </c>
      <c r="S30" s="13">
        <v>2</v>
      </c>
      <c r="T30" s="13">
        <v>0</v>
      </c>
      <c r="U30" s="13">
        <v>13</v>
      </c>
      <c r="V30" s="46">
        <v>0.30199999999999999</v>
      </c>
      <c r="W30" s="72">
        <v>10</v>
      </c>
      <c r="X30" s="156" t="s">
        <v>614</v>
      </c>
      <c r="Y30" s="48"/>
    </row>
    <row r="31" spans="1:25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4"/>
      <c r="O31" s="11"/>
      <c r="P31" s="24"/>
      <c r="Q31" s="11"/>
      <c r="R31" s="11"/>
      <c r="S31" s="11"/>
      <c r="T31" s="11"/>
      <c r="U31" s="11"/>
      <c r="V31" s="11"/>
      <c r="W31" s="11"/>
      <c r="X31" s="24"/>
      <c r="Y31" s="24"/>
    </row>
    <row r="32" spans="1:25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P32" s="2"/>
      <c r="X32" s="2"/>
      <c r="Y32" s="2"/>
    </row>
    <row r="33" spans="3:2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P33" s="2"/>
      <c r="X33" s="2"/>
      <c r="Y33" s="2"/>
    </row>
    <row r="34" spans="3:2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P34" s="2"/>
      <c r="X34" s="2"/>
      <c r="Y34" s="2"/>
    </row>
    <row r="35" spans="3:2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P35" s="2"/>
      <c r="X35" s="2"/>
      <c r="Y35" s="2"/>
    </row>
    <row r="36" spans="3:2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P36" s="2"/>
      <c r="X36" s="2"/>
      <c r="Y36" s="2"/>
    </row>
    <row r="37" spans="3:2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P37" s="2"/>
      <c r="X37" s="2"/>
      <c r="Y37" s="2"/>
    </row>
    <row r="38" spans="3:25">
      <c r="C38" s="2"/>
      <c r="H38" s="2"/>
      <c r="I38" s="2"/>
      <c r="J38" s="2"/>
      <c r="K38" s="2"/>
      <c r="L38" s="2"/>
      <c r="M38" s="2"/>
      <c r="P38" s="2"/>
      <c r="X38" s="2"/>
      <c r="Y38" s="2"/>
    </row>
    <row r="39" spans="3: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2"/>
      <c r="X39" s="2"/>
      <c r="Y39" s="2"/>
    </row>
    <row r="40" spans="3: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"/>
      <c r="X40" s="2"/>
      <c r="Y40" s="2"/>
    </row>
    <row r="41" spans="3: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P41" s="2"/>
      <c r="X41" s="2"/>
      <c r="Y41" s="2"/>
    </row>
    <row r="42" spans="3: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X42" s="2"/>
      <c r="Y42" s="2"/>
    </row>
    <row r="43" spans="3: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X43" s="2"/>
      <c r="Y43" s="2"/>
    </row>
    <row r="44" spans="3: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P44" s="2"/>
      <c r="X44" s="2"/>
      <c r="Y44" s="2"/>
    </row>
    <row r="45" spans="3: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P45" s="2"/>
      <c r="X45" s="2"/>
      <c r="Y45" s="2"/>
    </row>
    <row r="46" spans="3: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P46" s="2"/>
      <c r="X46" s="2"/>
      <c r="Y46" s="2"/>
    </row>
    <row r="47" spans="3: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P47" s="2"/>
      <c r="X47" s="2"/>
      <c r="Y47" s="2"/>
    </row>
    <row r="48" spans="3: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P48" s="2"/>
      <c r="X48" s="2"/>
      <c r="Y48" s="2"/>
    </row>
    <row r="49" spans="3: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P49" s="2"/>
      <c r="X49" s="2"/>
      <c r="Y49" s="2"/>
    </row>
    <row r="50" spans="3: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P50" s="2"/>
      <c r="X50" s="2"/>
      <c r="Y50" s="2"/>
    </row>
    <row r="51" spans="3: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P51" s="2"/>
      <c r="X51" s="2"/>
      <c r="Y51" s="2"/>
    </row>
    <row r="52" spans="3:2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P52" s="2"/>
      <c r="X52" s="2"/>
      <c r="Y52" s="2"/>
    </row>
    <row r="53" spans="3:2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P53" s="2"/>
      <c r="X53" s="2"/>
      <c r="Y53" s="2"/>
    </row>
    <row r="54" spans="3:2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P54" s="2"/>
      <c r="X54" s="2"/>
      <c r="Y54" s="2"/>
    </row>
    <row r="55" spans="3:25">
      <c r="P55" s="2"/>
      <c r="X55" s="2"/>
      <c r="Y55" s="2"/>
    </row>
    <row r="56" spans="3:25">
      <c r="P56" s="2"/>
      <c r="X56" s="2"/>
      <c r="Y56" s="2"/>
    </row>
    <row r="57" spans="3:25">
      <c r="P57" s="2"/>
      <c r="X57" s="2"/>
      <c r="Y57" s="2"/>
    </row>
    <row r="58" spans="3:25">
      <c r="P58" s="2"/>
      <c r="X58" s="2"/>
      <c r="Y58" s="2"/>
    </row>
    <row r="59" spans="3:25">
      <c r="P59" s="2"/>
      <c r="X59" s="2"/>
      <c r="Y59" s="2"/>
    </row>
  </sheetData>
  <sortState xmlns:xlrd2="http://schemas.microsoft.com/office/spreadsheetml/2017/richdata2" ref="N28:X30">
    <sortCondition descending="1" ref="W28:W30"/>
  </sortState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51"/>
  <sheetViews>
    <sheetView zoomScale="93" zoomScaleNormal="93" workbookViewId="0"/>
  </sheetViews>
  <sheetFormatPr defaultRowHeight="15.6" customHeight="1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0.5703125" style="2" customWidth="1"/>
    <col min="15" max="15" width="13.140625" style="6" customWidth="1"/>
    <col min="16" max="16" width="12.85546875" style="3" bestFit="1" customWidth="1"/>
    <col min="17" max="21" width="6.7109375" style="6" customWidth="1"/>
    <col min="22" max="22" width="10.7109375" style="6" customWidth="1"/>
    <col min="23" max="23" width="14.7109375" style="6" customWidth="1"/>
    <col min="24" max="24" width="11" style="6" customWidth="1"/>
    <col min="25" max="25" width="22.28515625" style="22" bestFit="1" customWidth="1"/>
    <col min="26" max="16384" width="9.140625" style="1"/>
  </cols>
  <sheetData>
    <row r="1" spans="1:25" s="81" customFormat="1" ht="15.6" customHeight="1">
      <c r="A1" s="76"/>
      <c r="B1" s="75" t="s">
        <v>114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7"/>
      <c r="N1" s="78"/>
    </row>
    <row r="2" spans="1:25" ht="15.6" customHeight="1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27</v>
      </c>
      <c r="P2" s="31"/>
      <c r="Q2" s="11"/>
      <c r="R2" s="11"/>
      <c r="S2" s="11"/>
      <c r="T2" s="11"/>
      <c r="U2" s="11"/>
      <c r="V2" s="11"/>
      <c r="W2" s="11"/>
      <c r="X2" s="11"/>
      <c r="Y2" s="25"/>
    </row>
    <row r="3" spans="1:25" ht="15.6" customHeight="1">
      <c r="B3" s="104" t="s">
        <v>39</v>
      </c>
      <c r="C3" s="117"/>
      <c r="D3" s="117"/>
      <c r="E3" s="117"/>
      <c r="F3" s="117"/>
      <c r="G3" s="117"/>
      <c r="H3" s="117"/>
      <c r="I3" s="106">
        <v>7</v>
      </c>
      <c r="J3" s="106">
        <v>7</v>
      </c>
      <c r="K3" s="106">
        <v>1</v>
      </c>
      <c r="L3" s="127">
        <v>2</v>
      </c>
      <c r="M3" s="2"/>
      <c r="N3" s="32" t="s">
        <v>116</v>
      </c>
      <c r="O3" s="5" t="s">
        <v>730</v>
      </c>
      <c r="Y3" s="33"/>
    </row>
    <row r="4" spans="1:25" ht="15.6" customHeight="1">
      <c r="B4" s="104" t="s">
        <v>40</v>
      </c>
      <c r="C4" s="107">
        <v>5</v>
      </c>
      <c r="D4" s="107">
        <v>4</v>
      </c>
      <c r="E4" s="107">
        <v>4</v>
      </c>
      <c r="F4" s="107">
        <v>6</v>
      </c>
      <c r="G4" s="112" t="s">
        <v>47</v>
      </c>
      <c r="H4" s="107">
        <v>7</v>
      </c>
      <c r="I4" s="106">
        <v>6</v>
      </c>
      <c r="J4" s="106">
        <v>3</v>
      </c>
      <c r="K4" s="106">
        <v>6</v>
      </c>
      <c r="L4" s="106">
        <v>6</v>
      </c>
      <c r="M4" s="2"/>
      <c r="N4" s="32" t="s">
        <v>115</v>
      </c>
      <c r="O4" s="5" t="s">
        <v>731</v>
      </c>
      <c r="Y4" s="33"/>
    </row>
    <row r="5" spans="1:25" ht="15.6" customHeight="1">
      <c r="B5" s="104" t="s">
        <v>41</v>
      </c>
      <c r="C5" s="109" t="s">
        <v>49</v>
      </c>
      <c r="D5" s="106">
        <v>1</v>
      </c>
      <c r="E5" s="107">
        <v>3</v>
      </c>
      <c r="F5" s="107">
        <v>6</v>
      </c>
      <c r="G5" s="107">
        <v>5</v>
      </c>
      <c r="H5" s="107">
        <v>1</v>
      </c>
      <c r="I5" s="108">
        <v>3</v>
      </c>
      <c r="J5" s="108">
        <v>2</v>
      </c>
      <c r="K5" s="108">
        <v>1</v>
      </c>
      <c r="L5" s="108">
        <v>3</v>
      </c>
      <c r="M5" s="2"/>
      <c r="N5" s="32" t="s">
        <v>1</v>
      </c>
      <c r="O5" s="4" t="s">
        <v>317</v>
      </c>
      <c r="Y5" s="33"/>
    </row>
    <row r="6" spans="1:25" ht="15.6" customHeight="1">
      <c r="B6" s="104" t="s">
        <v>42</v>
      </c>
      <c r="C6" s="108">
        <v>1</v>
      </c>
      <c r="D6" s="108">
        <v>4</v>
      </c>
      <c r="E6" s="107">
        <v>3</v>
      </c>
      <c r="F6" s="107">
        <v>2</v>
      </c>
      <c r="G6" s="107">
        <v>3</v>
      </c>
      <c r="H6" s="108">
        <v>10</v>
      </c>
      <c r="I6" s="108">
        <v>9</v>
      </c>
      <c r="J6" s="108">
        <v>3</v>
      </c>
      <c r="K6" s="108">
        <v>8</v>
      </c>
      <c r="L6" s="108">
        <v>10</v>
      </c>
      <c r="M6" s="2"/>
      <c r="N6" s="34" t="s">
        <v>2</v>
      </c>
      <c r="O6" s="35" t="s">
        <v>94</v>
      </c>
      <c r="P6" s="36"/>
      <c r="Q6" s="37"/>
      <c r="R6" s="37"/>
      <c r="S6" s="37"/>
      <c r="T6" s="37"/>
      <c r="U6" s="37"/>
      <c r="V6" s="37"/>
      <c r="W6" s="37"/>
      <c r="X6" s="37"/>
      <c r="Y6" s="38"/>
    </row>
    <row r="7" spans="1:25" ht="15.6" customHeight="1">
      <c r="B7" s="104" t="s">
        <v>118</v>
      </c>
      <c r="C7" s="108">
        <v>9</v>
      </c>
      <c r="D7" s="108">
        <v>5</v>
      </c>
      <c r="E7" s="108">
        <v>3</v>
      </c>
      <c r="F7" s="108">
        <v>6</v>
      </c>
      <c r="G7" s="91"/>
      <c r="H7" s="91"/>
      <c r="I7" s="91"/>
      <c r="J7" s="91"/>
      <c r="K7" s="91"/>
      <c r="L7" s="92"/>
      <c r="M7" s="2"/>
      <c r="Y7" s="2"/>
    </row>
    <row r="8" spans="1:25" ht="15.6" customHeight="1">
      <c r="I8" s="4"/>
      <c r="J8" s="4"/>
      <c r="K8" s="4"/>
      <c r="L8" s="4"/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11"/>
      <c r="X8" s="39"/>
      <c r="Y8" s="40"/>
    </row>
    <row r="9" spans="1:25" ht="15.6" customHeight="1">
      <c r="B9" s="90" t="s">
        <v>35</v>
      </c>
      <c r="C9" s="9"/>
      <c r="D9" s="52" t="s">
        <v>268</v>
      </c>
      <c r="E9" s="53"/>
      <c r="F9" s="53"/>
      <c r="G9" s="84" t="s">
        <v>269</v>
      </c>
      <c r="H9" s="85"/>
      <c r="I9" s="86"/>
      <c r="J9" s="54" t="s">
        <v>220</v>
      </c>
      <c r="K9" s="55"/>
      <c r="L9" s="56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566</v>
      </c>
      <c r="X9" s="96" t="s">
        <v>31</v>
      </c>
      <c r="Y9" s="43"/>
    </row>
    <row r="10" spans="1:25" ht="15.6" customHeight="1">
      <c r="B10" s="57"/>
      <c r="C10" s="2"/>
      <c r="D10" s="2"/>
      <c r="E10" s="2"/>
      <c r="F10" s="13"/>
      <c r="G10" s="13"/>
      <c r="H10" s="13"/>
      <c r="I10" s="2"/>
      <c r="J10" s="2"/>
      <c r="K10" s="2"/>
      <c r="L10" s="2"/>
      <c r="M10" s="2"/>
      <c r="N10" s="44" t="s">
        <v>321</v>
      </c>
      <c r="O10" s="45">
        <v>38599</v>
      </c>
      <c r="P10" s="4" t="s">
        <v>26</v>
      </c>
      <c r="Q10" s="13">
        <v>35</v>
      </c>
      <c r="R10" s="13">
        <v>5</v>
      </c>
      <c r="S10" s="13">
        <v>32</v>
      </c>
      <c r="T10" s="13">
        <v>17</v>
      </c>
      <c r="U10" s="13">
        <v>123</v>
      </c>
      <c r="V10" s="46">
        <v>0.60299999999999998</v>
      </c>
      <c r="W10" s="47" t="s">
        <v>114</v>
      </c>
      <c r="X10" s="47" t="s">
        <v>206</v>
      </c>
      <c r="Y10" s="48"/>
    </row>
    <row r="11" spans="1:25" ht="15.6" customHeight="1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49" t="s">
        <v>211</v>
      </c>
      <c r="O11" s="50">
        <v>38427</v>
      </c>
      <c r="P11" s="4" t="s">
        <v>26</v>
      </c>
      <c r="Q11" s="13">
        <v>38</v>
      </c>
      <c r="R11" s="13">
        <v>4</v>
      </c>
      <c r="S11" s="13">
        <v>2</v>
      </c>
      <c r="T11" s="13">
        <v>42</v>
      </c>
      <c r="U11" s="13">
        <v>151</v>
      </c>
      <c r="V11" s="46">
        <v>0.56000000000000005</v>
      </c>
      <c r="W11" s="47" t="s">
        <v>114</v>
      </c>
      <c r="X11" s="47" t="s">
        <v>206</v>
      </c>
      <c r="Y11" s="48"/>
    </row>
    <row r="12" spans="1:25" ht="15.6" customHeight="1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9" t="s">
        <v>578</v>
      </c>
      <c r="O12" s="50">
        <v>38866</v>
      </c>
      <c r="P12" s="4" t="s">
        <v>26</v>
      </c>
      <c r="Q12" s="13">
        <v>4</v>
      </c>
      <c r="R12" s="13">
        <v>0</v>
      </c>
      <c r="S12" s="13">
        <v>1</v>
      </c>
      <c r="T12" s="13">
        <v>0</v>
      </c>
      <c r="U12" s="13">
        <v>3</v>
      </c>
      <c r="V12" s="46">
        <v>0.27300000000000002</v>
      </c>
      <c r="W12" s="47" t="s">
        <v>114</v>
      </c>
      <c r="X12" s="47" t="s">
        <v>206</v>
      </c>
      <c r="Y12" s="48"/>
    </row>
    <row r="13" spans="1:25" ht="15.6" customHeight="1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9" t="s">
        <v>323</v>
      </c>
      <c r="O13" s="50">
        <v>39172</v>
      </c>
      <c r="P13" s="4" t="s">
        <v>84</v>
      </c>
      <c r="Q13" s="13">
        <v>10</v>
      </c>
      <c r="R13" s="13">
        <v>1</v>
      </c>
      <c r="S13" s="13">
        <v>2</v>
      </c>
      <c r="T13" s="13">
        <v>12</v>
      </c>
      <c r="U13" s="13">
        <v>27</v>
      </c>
      <c r="V13" s="46">
        <v>0.64300000000000002</v>
      </c>
      <c r="W13" s="47" t="s">
        <v>114</v>
      </c>
      <c r="X13" s="47" t="s">
        <v>213</v>
      </c>
      <c r="Y13" s="48"/>
    </row>
    <row r="14" spans="1:25" ht="15.6" customHeight="1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9" t="s">
        <v>212</v>
      </c>
      <c r="O14" s="50">
        <v>38666</v>
      </c>
      <c r="P14" s="4" t="s">
        <v>26</v>
      </c>
      <c r="Q14" s="13">
        <v>21</v>
      </c>
      <c r="R14" s="13">
        <v>0</v>
      </c>
      <c r="S14" s="13">
        <v>3</v>
      </c>
      <c r="T14" s="13">
        <v>12</v>
      </c>
      <c r="U14" s="13">
        <v>19</v>
      </c>
      <c r="V14" s="46">
        <v>0.28399999999999997</v>
      </c>
      <c r="W14" s="47" t="s">
        <v>114</v>
      </c>
      <c r="X14" s="47" t="s">
        <v>206</v>
      </c>
      <c r="Y14" s="48"/>
    </row>
    <row r="15" spans="1:25" ht="15.6" customHeight="1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9" t="s">
        <v>579</v>
      </c>
      <c r="O15" s="50">
        <v>38894</v>
      </c>
      <c r="P15" s="4" t="s">
        <v>84</v>
      </c>
      <c r="Q15" s="13">
        <v>17</v>
      </c>
      <c r="R15" s="13">
        <v>0</v>
      </c>
      <c r="S15" s="13">
        <v>16</v>
      </c>
      <c r="T15" s="13">
        <v>1</v>
      </c>
      <c r="U15" s="13">
        <v>35</v>
      </c>
      <c r="V15" s="46">
        <v>0.41699999999999998</v>
      </c>
      <c r="W15" s="47" t="s">
        <v>114</v>
      </c>
      <c r="X15" s="47" t="s">
        <v>213</v>
      </c>
      <c r="Y15" s="48"/>
    </row>
    <row r="16" spans="1:25" ht="15.6" customHeight="1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4" t="s">
        <v>326</v>
      </c>
      <c r="O16" s="50">
        <v>38476</v>
      </c>
      <c r="P16" s="4" t="s">
        <v>327</v>
      </c>
      <c r="Q16" s="13">
        <v>42</v>
      </c>
      <c r="R16" s="13">
        <v>3</v>
      </c>
      <c r="S16" s="13">
        <v>43</v>
      </c>
      <c r="T16" s="13">
        <v>22</v>
      </c>
      <c r="U16" s="13">
        <v>146</v>
      </c>
      <c r="V16" s="46">
        <v>0.54700000000000004</v>
      </c>
      <c r="W16" s="47" t="s">
        <v>114</v>
      </c>
      <c r="X16" s="47" t="s">
        <v>86</v>
      </c>
      <c r="Y16" s="48"/>
    </row>
    <row r="17" spans="1:25" ht="15.6" customHeight="1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9" t="s">
        <v>580</v>
      </c>
      <c r="O17" s="50">
        <v>39193</v>
      </c>
      <c r="P17" s="4" t="s">
        <v>26</v>
      </c>
      <c r="Q17" s="13"/>
      <c r="R17" s="13"/>
      <c r="S17" s="13"/>
      <c r="T17" s="13"/>
      <c r="U17" s="13"/>
      <c r="V17" s="46"/>
      <c r="W17" s="47" t="s">
        <v>624</v>
      </c>
      <c r="X17" s="47" t="s">
        <v>206</v>
      </c>
      <c r="Y17" s="48"/>
    </row>
    <row r="18" spans="1:25" ht="15.6" customHeight="1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9" t="s">
        <v>581</v>
      </c>
      <c r="O18" s="50">
        <v>39304</v>
      </c>
      <c r="P18" s="4" t="s">
        <v>26</v>
      </c>
      <c r="Q18" s="13">
        <v>18</v>
      </c>
      <c r="R18" s="13">
        <v>1</v>
      </c>
      <c r="S18" s="13">
        <v>3</v>
      </c>
      <c r="T18" s="13">
        <v>18</v>
      </c>
      <c r="U18" s="13">
        <v>59</v>
      </c>
      <c r="V18" s="46">
        <v>0.60199999999999998</v>
      </c>
      <c r="W18" s="47" t="s">
        <v>114</v>
      </c>
      <c r="X18" s="47" t="s">
        <v>206</v>
      </c>
      <c r="Y18" s="48"/>
    </row>
    <row r="19" spans="1:25" ht="15.6" customHeight="1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9" t="s">
        <v>729</v>
      </c>
      <c r="O19" s="50">
        <v>38708</v>
      </c>
      <c r="P19" s="4" t="s">
        <v>56</v>
      </c>
      <c r="Q19" s="13">
        <v>40</v>
      </c>
      <c r="R19" s="13">
        <v>0</v>
      </c>
      <c r="S19" s="13">
        <v>7</v>
      </c>
      <c r="T19" s="13">
        <v>1</v>
      </c>
      <c r="U19" s="13">
        <v>33</v>
      </c>
      <c r="V19" s="46">
        <f>PRODUCT(33/112)</f>
        <v>0.29464285714285715</v>
      </c>
      <c r="W19" s="47" t="s">
        <v>114</v>
      </c>
      <c r="X19" s="47" t="s">
        <v>206</v>
      </c>
      <c r="Y19" s="48"/>
    </row>
    <row r="20" spans="1:25" ht="15.6" customHeight="1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4" t="s">
        <v>582</v>
      </c>
      <c r="O20" s="50">
        <v>39230</v>
      </c>
      <c r="P20" s="4" t="s">
        <v>26</v>
      </c>
      <c r="Q20" s="13">
        <v>5</v>
      </c>
      <c r="R20" s="13">
        <v>0</v>
      </c>
      <c r="S20" s="13">
        <v>0</v>
      </c>
      <c r="T20" s="13">
        <v>2</v>
      </c>
      <c r="U20" s="13">
        <v>11</v>
      </c>
      <c r="V20" s="46">
        <v>0.40699999999999997</v>
      </c>
      <c r="W20" s="47" t="s">
        <v>114</v>
      </c>
      <c r="X20" s="47" t="s">
        <v>206</v>
      </c>
      <c r="Y20" s="48"/>
    </row>
    <row r="21" spans="1:25" ht="15.6" customHeight="1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59" t="s">
        <v>196</v>
      </c>
      <c r="O21" s="50">
        <v>38727</v>
      </c>
      <c r="P21" s="4" t="s">
        <v>26</v>
      </c>
      <c r="Q21" s="13">
        <v>46</v>
      </c>
      <c r="R21" s="13">
        <v>2</v>
      </c>
      <c r="S21" s="13">
        <v>18</v>
      </c>
      <c r="T21" s="13">
        <v>41</v>
      </c>
      <c r="U21" s="13">
        <v>202</v>
      </c>
      <c r="V21" s="46">
        <v>0.61799999999999999</v>
      </c>
      <c r="W21" s="47" t="s">
        <v>114</v>
      </c>
      <c r="X21" s="47" t="s">
        <v>206</v>
      </c>
      <c r="Y21" s="48"/>
    </row>
    <row r="22" spans="1:25" ht="15.6" customHeight="1">
      <c r="A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59" t="s">
        <v>322</v>
      </c>
      <c r="O22" s="50">
        <v>38803</v>
      </c>
      <c r="P22" s="4" t="s">
        <v>84</v>
      </c>
      <c r="Q22" s="13">
        <v>17</v>
      </c>
      <c r="R22" s="13">
        <v>0</v>
      </c>
      <c r="S22" s="13">
        <v>10</v>
      </c>
      <c r="T22" s="13">
        <v>3</v>
      </c>
      <c r="U22" s="13">
        <v>40</v>
      </c>
      <c r="V22" s="46">
        <v>0.52</v>
      </c>
      <c r="W22" s="47" t="s">
        <v>114</v>
      </c>
      <c r="X22" s="47" t="s">
        <v>213</v>
      </c>
      <c r="Y22" s="48"/>
    </row>
    <row r="23" spans="1:25" ht="15.6" customHeight="1">
      <c r="A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9" t="s">
        <v>583</v>
      </c>
      <c r="O23" s="50">
        <v>39325</v>
      </c>
      <c r="P23" s="4" t="s">
        <v>26</v>
      </c>
      <c r="Q23" s="13">
        <v>1</v>
      </c>
      <c r="R23" s="13">
        <v>0</v>
      </c>
      <c r="S23" s="13">
        <v>0</v>
      </c>
      <c r="T23" s="13">
        <v>0</v>
      </c>
      <c r="U23" s="13">
        <v>0</v>
      </c>
      <c r="V23" s="46">
        <v>0</v>
      </c>
      <c r="W23" s="47" t="s">
        <v>114</v>
      </c>
      <c r="X23" s="47" t="s">
        <v>206</v>
      </c>
      <c r="Y23" s="48"/>
    </row>
    <row r="24" spans="1:25" ht="15.6" customHeight="1">
      <c r="A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59" t="s">
        <v>215</v>
      </c>
      <c r="O24" s="50">
        <v>38401</v>
      </c>
      <c r="P24" s="4" t="s">
        <v>26</v>
      </c>
      <c r="Q24" s="13">
        <v>40</v>
      </c>
      <c r="R24" s="13">
        <v>4</v>
      </c>
      <c r="S24" s="13">
        <v>15</v>
      </c>
      <c r="T24" s="13">
        <v>39</v>
      </c>
      <c r="U24" s="13">
        <v>161</v>
      </c>
      <c r="V24" s="46">
        <v>0.61899999999999999</v>
      </c>
      <c r="W24" s="47" t="s">
        <v>114</v>
      </c>
      <c r="X24" s="47" t="s">
        <v>206</v>
      </c>
      <c r="Y24" s="48"/>
    </row>
    <row r="25" spans="1:25" ht="15.6" customHeight="1">
      <c r="A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59" t="s">
        <v>216</v>
      </c>
      <c r="O25" s="50">
        <v>38638</v>
      </c>
      <c r="P25" s="4" t="s">
        <v>26</v>
      </c>
      <c r="Q25" s="13">
        <v>22</v>
      </c>
      <c r="R25" s="13">
        <v>0</v>
      </c>
      <c r="S25" s="13">
        <v>1</v>
      </c>
      <c r="T25" s="13">
        <v>4</v>
      </c>
      <c r="U25" s="13">
        <v>33</v>
      </c>
      <c r="V25" s="46">
        <v>0.45800000000000002</v>
      </c>
      <c r="W25" s="47" t="s">
        <v>114</v>
      </c>
      <c r="X25" s="47" t="s">
        <v>206</v>
      </c>
      <c r="Y25" s="48"/>
    </row>
    <row r="26" spans="1:25" ht="15.6" customHeight="1">
      <c r="A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9" t="s">
        <v>584</v>
      </c>
      <c r="O26" s="50">
        <v>38565</v>
      </c>
      <c r="P26" s="4" t="s">
        <v>627</v>
      </c>
      <c r="Q26" s="13">
        <v>43</v>
      </c>
      <c r="R26" s="13">
        <v>1</v>
      </c>
      <c r="S26" s="13">
        <v>19</v>
      </c>
      <c r="T26" s="13">
        <v>3</v>
      </c>
      <c r="U26" s="13">
        <v>91</v>
      </c>
      <c r="V26" s="46">
        <v>0.51700000000000002</v>
      </c>
      <c r="W26" s="47" t="s">
        <v>626</v>
      </c>
      <c r="X26" s="47" t="s">
        <v>625</v>
      </c>
      <c r="Y26" s="48"/>
    </row>
    <row r="27" spans="1:25" ht="15.6" customHeight="1">
      <c r="A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4"/>
      <c r="O27" s="11"/>
      <c r="P27" s="31"/>
      <c r="Q27" s="60"/>
      <c r="R27" s="60"/>
      <c r="S27" s="60"/>
      <c r="T27" s="60"/>
      <c r="U27" s="60"/>
      <c r="V27" s="60"/>
      <c r="W27" s="68"/>
      <c r="X27" s="69"/>
      <c r="Y27" s="30"/>
    </row>
    <row r="28" spans="1:25" ht="15.6" customHeight="1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12" t="s">
        <v>221</v>
      </c>
      <c r="O28" s="11"/>
      <c r="P28" s="31"/>
      <c r="Q28" s="11"/>
      <c r="R28" s="11"/>
      <c r="S28" s="11"/>
      <c r="T28" s="11"/>
      <c r="U28" s="11"/>
      <c r="V28" s="11"/>
      <c r="W28" s="11"/>
      <c r="X28" s="70"/>
      <c r="Y28" s="40"/>
    </row>
    <row r="29" spans="1:25" ht="15.6" customHeight="1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14" t="s">
        <v>5</v>
      </c>
      <c r="O29" s="41" t="s">
        <v>0</v>
      </c>
      <c r="P29" s="3" t="s">
        <v>3</v>
      </c>
      <c r="Q29" s="6" t="s">
        <v>13</v>
      </c>
      <c r="R29" s="6" t="s">
        <v>14</v>
      </c>
      <c r="S29" s="6" t="s">
        <v>15</v>
      </c>
      <c r="T29" s="6" t="s">
        <v>16</v>
      </c>
      <c r="U29" s="6" t="s">
        <v>17</v>
      </c>
      <c r="V29" s="42" t="s">
        <v>18</v>
      </c>
      <c r="W29" s="71" t="s">
        <v>222</v>
      </c>
      <c r="X29" s="19" t="s">
        <v>223</v>
      </c>
      <c r="Y29" s="33"/>
    </row>
    <row r="30" spans="1:25" ht="15.6" customHeight="1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4" t="s">
        <v>326</v>
      </c>
      <c r="O30" s="50">
        <v>38476</v>
      </c>
      <c r="P30" s="4" t="s">
        <v>327</v>
      </c>
      <c r="Q30" s="13">
        <v>1</v>
      </c>
      <c r="R30" s="13">
        <v>0</v>
      </c>
      <c r="S30" s="13">
        <v>0</v>
      </c>
      <c r="T30" s="13">
        <v>0</v>
      </c>
      <c r="U30" s="13">
        <v>0</v>
      </c>
      <c r="V30" s="46">
        <v>0</v>
      </c>
      <c r="W30" s="72">
        <v>0</v>
      </c>
      <c r="X30" s="47" t="s">
        <v>206</v>
      </c>
      <c r="Y30" s="48"/>
    </row>
    <row r="31" spans="1:25" ht="15.6" customHeight="1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4"/>
      <c r="O31" s="11"/>
      <c r="P31" s="24"/>
      <c r="Q31" s="11"/>
      <c r="R31" s="11"/>
      <c r="S31" s="11"/>
      <c r="T31" s="11"/>
      <c r="U31" s="11"/>
      <c r="V31" s="11"/>
      <c r="W31" s="11"/>
      <c r="X31" s="24"/>
      <c r="Y31" s="24"/>
    </row>
    <row r="32" spans="1:25" ht="15.6" customHeight="1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P32" s="2"/>
      <c r="X32" s="2"/>
      <c r="Y32" s="2"/>
    </row>
    <row r="33" spans="3:25" ht="15.6" customHeight="1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P33" s="2"/>
      <c r="X33" s="2"/>
      <c r="Y33" s="2"/>
    </row>
    <row r="34" spans="3:25" ht="15.6" customHeight="1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P34" s="2"/>
      <c r="X34" s="2"/>
      <c r="Y34" s="2"/>
    </row>
    <row r="35" spans="3:25" ht="15.6" customHeight="1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P35" s="2"/>
      <c r="X35" s="2"/>
      <c r="Y35" s="2"/>
    </row>
    <row r="36" spans="3:25" ht="15.6" customHeight="1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P36" s="2"/>
      <c r="X36" s="2"/>
      <c r="Y36" s="2"/>
    </row>
    <row r="37" spans="3:25" ht="15.6" customHeight="1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P37" s="2"/>
      <c r="X37" s="2"/>
      <c r="Y37" s="2"/>
    </row>
    <row r="38" spans="3:25" ht="15.6" customHeight="1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P38" s="2"/>
      <c r="X38" s="2"/>
      <c r="Y38" s="2"/>
    </row>
    <row r="39" spans="3:25" ht="15.6" customHeight="1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2"/>
      <c r="X39" s="2"/>
      <c r="Y39" s="2"/>
    </row>
    <row r="40" spans="3:25" ht="15.6" customHeight="1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"/>
      <c r="X40" s="2"/>
      <c r="Y40" s="2"/>
    </row>
    <row r="41" spans="3:25" ht="15.6" customHeight="1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P41" s="2"/>
      <c r="X41" s="2"/>
      <c r="Y41" s="2"/>
    </row>
    <row r="42" spans="3:25" ht="15.6" customHeight="1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X42" s="2"/>
      <c r="Y42" s="2"/>
    </row>
    <row r="43" spans="3:25" ht="15.6" customHeight="1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X43" s="2"/>
      <c r="Y43" s="2"/>
    </row>
    <row r="44" spans="3:25" ht="15.6" customHeight="1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P44" s="2"/>
      <c r="X44" s="2"/>
      <c r="Y44" s="2"/>
    </row>
    <row r="45" spans="3:25" ht="15.6" customHeight="1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P45" s="2"/>
      <c r="X45" s="2"/>
      <c r="Y45" s="2"/>
    </row>
    <row r="46" spans="3:25" ht="15.6" customHeight="1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P46" s="2"/>
      <c r="X46" s="2"/>
      <c r="Y46" s="2"/>
    </row>
    <row r="47" spans="3:25" ht="15.6" customHeight="1">
      <c r="P47" s="2"/>
      <c r="X47" s="2"/>
      <c r="Y47" s="2"/>
    </row>
    <row r="48" spans="3:25" ht="15.6" customHeight="1">
      <c r="P48" s="2"/>
      <c r="X48" s="2"/>
      <c r="Y48" s="2"/>
    </row>
    <row r="49" spans="16:25" ht="15.6" customHeight="1">
      <c r="P49" s="2"/>
      <c r="X49" s="2"/>
      <c r="Y49" s="2"/>
    </row>
    <row r="50" spans="16:25" ht="15.6" customHeight="1">
      <c r="P50" s="2"/>
      <c r="X50" s="2"/>
      <c r="Y50" s="2"/>
    </row>
    <row r="51" spans="16:25" ht="15.6" customHeight="1">
      <c r="P51" s="2"/>
      <c r="X51" s="2"/>
      <c r="Y51" s="2"/>
    </row>
  </sheetData>
  <sortState xmlns:xlrd2="http://schemas.microsoft.com/office/spreadsheetml/2017/richdata2" ref="N20:Y21">
    <sortCondition descending="1" ref="N20"/>
  </sortState>
  <pageMargins left="0.7" right="0.7" top="0.75" bottom="0.75" header="0.3" footer="0.3"/>
  <pageSetup paperSize="9" orientation="portrait" horizontalDpi="4294967293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67"/>
  <sheetViews>
    <sheetView zoomScale="93" zoomScaleNormal="93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0.5703125" style="2" customWidth="1"/>
    <col min="15" max="15" width="13.140625" style="6" customWidth="1"/>
    <col min="16" max="16" width="12.85546875" style="3" bestFit="1" customWidth="1"/>
    <col min="17" max="21" width="6.7109375" style="6" customWidth="1"/>
    <col min="22" max="22" width="9.85546875" style="6" customWidth="1"/>
    <col min="23" max="23" width="14.28515625" style="6" customWidth="1"/>
    <col min="24" max="24" width="23.85546875" style="22" customWidth="1"/>
    <col min="25" max="25" width="9.140625" style="1"/>
    <col min="26" max="16384" width="9.140625" style="4"/>
  </cols>
  <sheetData>
    <row r="1" spans="1:25" s="2" customFormat="1" ht="18.75">
      <c r="A1" s="21"/>
      <c r="B1" s="28" t="s">
        <v>283</v>
      </c>
      <c r="C1" s="28"/>
      <c r="D1" s="28"/>
      <c r="E1" s="28"/>
      <c r="F1" s="28"/>
      <c r="G1" s="28"/>
      <c r="H1" s="28"/>
      <c r="I1" s="28"/>
      <c r="J1" s="28"/>
      <c r="K1" s="28"/>
      <c r="L1" s="28"/>
      <c r="N1" s="19"/>
      <c r="O1" s="6"/>
      <c r="P1" s="3"/>
      <c r="Q1" s="13"/>
      <c r="R1" s="13"/>
      <c r="S1" s="13"/>
      <c r="T1" s="13"/>
      <c r="U1" s="13"/>
      <c r="V1" s="13"/>
      <c r="W1" s="13"/>
      <c r="X1" s="21"/>
      <c r="Y1" s="1"/>
    </row>
    <row r="2" spans="1:25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284</v>
      </c>
      <c r="P2" s="31"/>
      <c r="Q2" s="11"/>
      <c r="R2" s="11"/>
      <c r="S2" s="11"/>
      <c r="T2" s="11"/>
      <c r="U2" s="11"/>
      <c r="V2" s="11"/>
      <c r="W2" s="11"/>
      <c r="X2" s="25"/>
    </row>
    <row r="3" spans="1:25">
      <c r="B3" s="104" t="s">
        <v>118</v>
      </c>
      <c r="C3" s="106" t="s">
        <v>36</v>
      </c>
      <c r="D3" s="106" t="s">
        <v>36</v>
      </c>
      <c r="E3" s="106" t="s">
        <v>36</v>
      </c>
      <c r="F3" s="108">
        <v>1</v>
      </c>
      <c r="G3" s="97"/>
      <c r="H3" s="97"/>
      <c r="I3" s="97"/>
      <c r="J3" s="97"/>
      <c r="K3" s="97"/>
      <c r="L3" s="98"/>
      <c r="M3" s="2"/>
      <c r="N3" s="32" t="s">
        <v>116</v>
      </c>
      <c r="O3" s="5" t="s">
        <v>279</v>
      </c>
      <c r="X3" s="33"/>
    </row>
    <row r="4" spans="1:25">
      <c r="I4" s="4"/>
      <c r="J4" s="4"/>
      <c r="K4" s="4"/>
      <c r="L4" s="4"/>
      <c r="M4" s="2"/>
      <c r="N4" s="32" t="s">
        <v>115</v>
      </c>
      <c r="O4" s="5" t="s">
        <v>280</v>
      </c>
      <c r="X4" s="33"/>
    </row>
    <row r="5" spans="1:25">
      <c r="B5" s="90" t="s">
        <v>35</v>
      </c>
      <c r="C5" s="9"/>
      <c r="D5" s="52" t="s">
        <v>268</v>
      </c>
      <c r="E5" s="53"/>
      <c r="F5" s="53"/>
      <c r="G5" s="84" t="s">
        <v>269</v>
      </c>
      <c r="H5" s="85"/>
      <c r="I5" s="86"/>
      <c r="J5" s="54" t="s">
        <v>220</v>
      </c>
      <c r="K5" s="55"/>
      <c r="L5" s="56"/>
      <c r="M5" s="2"/>
      <c r="N5" s="32" t="s">
        <v>1</v>
      </c>
      <c r="O5" s="21" t="s">
        <v>769</v>
      </c>
      <c r="X5" s="33"/>
    </row>
    <row r="6" spans="1:25">
      <c r="B6" s="57"/>
      <c r="C6" s="2"/>
      <c r="D6" s="2"/>
      <c r="E6" s="2"/>
      <c r="F6" s="13"/>
      <c r="G6" s="13"/>
      <c r="H6" s="13"/>
      <c r="I6" s="2"/>
      <c r="J6" s="2"/>
      <c r="K6" s="2"/>
      <c r="L6" s="2"/>
      <c r="M6" s="2"/>
      <c r="N6" s="34" t="s">
        <v>2</v>
      </c>
      <c r="O6" s="35" t="s">
        <v>225</v>
      </c>
      <c r="P6" s="36"/>
      <c r="Q6" s="37"/>
      <c r="R6" s="37"/>
      <c r="S6" s="37"/>
      <c r="T6" s="37"/>
      <c r="U6" s="37"/>
      <c r="V6" s="37"/>
      <c r="W6" s="37"/>
      <c r="X6" s="38"/>
    </row>
    <row r="7" spans="1:25">
      <c r="C7" s="2"/>
      <c r="D7" s="2"/>
      <c r="E7" s="2"/>
      <c r="F7" s="2"/>
      <c r="G7" s="2"/>
      <c r="H7" s="2"/>
      <c r="I7" s="2"/>
      <c r="J7" s="2"/>
      <c r="K7" s="2"/>
      <c r="L7" s="2"/>
      <c r="M7" s="2"/>
      <c r="X7" s="2"/>
    </row>
    <row r="8" spans="1:25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39"/>
      <c r="X8" s="40"/>
    </row>
    <row r="9" spans="1:2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565</v>
      </c>
      <c r="X9" s="43" t="s">
        <v>31</v>
      </c>
    </row>
    <row r="10" spans="1:2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49" t="s">
        <v>139</v>
      </c>
      <c r="O10" s="50">
        <v>35897</v>
      </c>
      <c r="P10" s="4" t="s">
        <v>56</v>
      </c>
      <c r="Q10" s="13">
        <v>113</v>
      </c>
      <c r="R10" s="13">
        <v>1</v>
      </c>
      <c r="S10" s="13">
        <v>76</v>
      </c>
      <c r="T10" s="13">
        <v>48</v>
      </c>
      <c r="U10" s="13">
        <v>361</v>
      </c>
      <c r="V10" s="46">
        <f>PRODUCT(361/630)</f>
        <v>0.57301587301587298</v>
      </c>
      <c r="W10" s="47" t="s">
        <v>763</v>
      </c>
      <c r="X10" s="48" t="s">
        <v>52</v>
      </c>
    </row>
    <row r="11" spans="1: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49" t="s">
        <v>226</v>
      </c>
      <c r="O11" s="50">
        <v>37369</v>
      </c>
      <c r="P11" s="4" t="s">
        <v>12</v>
      </c>
      <c r="Q11" s="13">
        <v>28</v>
      </c>
      <c r="R11" s="13">
        <v>4</v>
      </c>
      <c r="S11" s="13">
        <v>21</v>
      </c>
      <c r="T11" s="13">
        <v>28</v>
      </c>
      <c r="U11" s="13">
        <v>155</v>
      </c>
      <c r="V11" s="46">
        <f>PRODUCT(155/214)</f>
        <v>0.72429906542056077</v>
      </c>
      <c r="W11" s="47" t="s">
        <v>763</v>
      </c>
      <c r="X11" s="48" t="s">
        <v>66</v>
      </c>
    </row>
    <row r="12" spans="1: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9" t="s">
        <v>744</v>
      </c>
      <c r="O12" s="50">
        <v>37133</v>
      </c>
      <c r="P12" s="4" t="s">
        <v>61</v>
      </c>
      <c r="Q12" s="13">
        <v>53</v>
      </c>
      <c r="R12" s="13">
        <v>3</v>
      </c>
      <c r="S12" s="13">
        <v>13</v>
      </c>
      <c r="T12" s="13">
        <v>64</v>
      </c>
      <c r="U12" s="13">
        <v>232</v>
      </c>
      <c r="V12" s="46">
        <f>PRODUCT(232/348)</f>
        <v>0.66666666666666663</v>
      </c>
      <c r="W12" s="47" t="s">
        <v>252</v>
      </c>
      <c r="X12" s="48" t="s">
        <v>613</v>
      </c>
    </row>
    <row r="13" spans="1: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9" t="s">
        <v>747</v>
      </c>
      <c r="O13" s="50">
        <v>38421</v>
      </c>
      <c r="P13" s="4" t="s">
        <v>766</v>
      </c>
      <c r="Q13" s="13"/>
      <c r="R13" s="13"/>
      <c r="S13" s="13"/>
      <c r="T13" s="13"/>
      <c r="U13" s="13"/>
      <c r="V13" s="46"/>
      <c r="W13" s="47" t="s">
        <v>252</v>
      </c>
      <c r="X13" s="48" t="s">
        <v>265</v>
      </c>
    </row>
    <row r="14" spans="1:25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9" t="s">
        <v>228</v>
      </c>
      <c r="O14" s="50">
        <v>38352</v>
      </c>
      <c r="P14" s="4" t="s">
        <v>12</v>
      </c>
      <c r="Q14" s="13">
        <v>47</v>
      </c>
      <c r="R14" s="13">
        <v>11</v>
      </c>
      <c r="S14" s="13">
        <v>57</v>
      </c>
      <c r="T14" s="13">
        <v>34</v>
      </c>
      <c r="U14" s="13">
        <v>171</v>
      </c>
      <c r="V14" s="46">
        <f>PRODUCT(171/329)</f>
        <v>0.51975683890577506</v>
      </c>
      <c r="W14" s="47" t="s">
        <v>763</v>
      </c>
      <c r="X14" s="48" t="s">
        <v>231</v>
      </c>
    </row>
    <row r="15" spans="1:25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9" t="s">
        <v>745</v>
      </c>
      <c r="O15" s="50">
        <v>35432</v>
      </c>
      <c r="P15" s="4" t="s">
        <v>12</v>
      </c>
      <c r="Q15" s="13">
        <v>54</v>
      </c>
      <c r="R15" s="13">
        <v>8</v>
      </c>
      <c r="S15" s="13">
        <v>51</v>
      </c>
      <c r="T15" s="13">
        <v>58</v>
      </c>
      <c r="U15" s="13">
        <v>259</v>
      </c>
      <c r="V15" s="46">
        <f>PRODUCT(259/418)</f>
        <v>0.61961722488038273</v>
      </c>
      <c r="W15" s="47" t="s">
        <v>252</v>
      </c>
      <c r="X15" s="48" t="s">
        <v>66</v>
      </c>
    </row>
    <row r="16" spans="1:25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9" t="s">
        <v>748</v>
      </c>
      <c r="O16" s="50">
        <v>38745</v>
      </c>
      <c r="P16" s="4" t="s">
        <v>108</v>
      </c>
      <c r="Q16" s="13"/>
      <c r="R16" s="13"/>
      <c r="S16" s="13"/>
      <c r="T16" s="13"/>
      <c r="U16" s="13"/>
      <c r="V16" s="46"/>
      <c r="W16" s="47" t="s">
        <v>252</v>
      </c>
      <c r="X16" s="48" t="s">
        <v>60</v>
      </c>
    </row>
    <row r="17" spans="1:24">
      <c r="A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9" t="s">
        <v>281</v>
      </c>
      <c r="O17" s="50">
        <v>35662</v>
      </c>
      <c r="P17" s="4" t="s">
        <v>12</v>
      </c>
      <c r="Q17" s="13">
        <v>66</v>
      </c>
      <c r="R17" s="13">
        <v>0</v>
      </c>
      <c r="S17" s="13">
        <v>17</v>
      </c>
      <c r="T17" s="13">
        <v>9</v>
      </c>
      <c r="U17" s="13">
        <v>100</v>
      </c>
      <c r="V17" s="46">
        <f>PRODUCT(100/218)</f>
        <v>0.45871559633027525</v>
      </c>
      <c r="W17" s="47" t="s">
        <v>763</v>
      </c>
      <c r="X17" s="48" t="s">
        <v>66</v>
      </c>
    </row>
    <row r="18" spans="1:24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9" t="s">
        <v>310</v>
      </c>
      <c r="O18" s="50">
        <v>38382</v>
      </c>
      <c r="P18" s="4" t="s">
        <v>108</v>
      </c>
      <c r="Q18" s="13">
        <v>28</v>
      </c>
      <c r="R18" s="13">
        <v>1</v>
      </c>
      <c r="S18" s="13">
        <v>11</v>
      </c>
      <c r="T18" s="13">
        <v>9</v>
      </c>
      <c r="U18" s="13">
        <v>75</v>
      </c>
      <c r="V18" s="46">
        <f>PRODUCT(75/140)</f>
        <v>0.5357142857142857</v>
      </c>
      <c r="W18" s="47" t="s">
        <v>763</v>
      </c>
      <c r="X18" s="48" t="s">
        <v>60</v>
      </c>
    </row>
    <row r="19" spans="1:24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9" t="s">
        <v>123</v>
      </c>
      <c r="O19" s="50">
        <v>37895</v>
      </c>
      <c r="P19" s="4" t="s">
        <v>72</v>
      </c>
      <c r="Q19" s="13">
        <v>43</v>
      </c>
      <c r="R19" s="13">
        <v>2</v>
      </c>
      <c r="S19" s="13">
        <v>24</v>
      </c>
      <c r="T19" s="13">
        <v>20</v>
      </c>
      <c r="U19" s="13">
        <v>120</v>
      </c>
      <c r="V19" s="46">
        <f>PRODUCT(120/231)</f>
        <v>0.51948051948051943</v>
      </c>
      <c r="W19" s="47" t="s">
        <v>623</v>
      </c>
      <c r="X19" s="48" t="s">
        <v>208</v>
      </c>
    </row>
    <row r="20" spans="1:24">
      <c r="A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9" t="s">
        <v>229</v>
      </c>
      <c r="O20" s="50">
        <v>38700</v>
      </c>
      <c r="P20" s="4" t="s">
        <v>12</v>
      </c>
      <c r="Q20" s="13">
        <v>21</v>
      </c>
      <c r="R20" s="13">
        <v>0</v>
      </c>
      <c r="S20" s="13">
        <v>3</v>
      </c>
      <c r="T20" s="13">
        <v>2</v>
      </c>
      <c r="U20" s="13">
        <v>11</v>
      </c>
      <c r="V20" s="46">
        <f>PRODUCT(9/26)</f>
        <v>0.34615384615384615</v>
      </c>
      <c r="W20" s="47" t="s">
        <v>763</v>
      </c>
      <c r="X20" s="48" t="s">
        <v>66</v>
      </c>
    </row>
    <row r="21" spans="1:24">
      <c r="A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9" t="s">
        <v>743</v>
      </c>
      <c r="O21" s="50">
        <v>39224</v>
      </c>
      <c r="P21" s="4" t="s">
        <v>254</v>
      </c>
      <c r="Q21" s="13">
        <v>28</v>
      </c>
      <c r="R21" s="13">
        <v>0</v>
      </c>
      <c r="S21" s="13">
        <v>10</v>
      </c>
      <c r="T21" s="13">
        <v>30</v>
      </c>
      <c r="U21" s="13">
        <v>75</v>
      </c>
      <c r="V21" s="46">
        <f>PRODUCT(75/145)</f>
        <v>0.51724137931034486</v>
      </c>
      <c r="W21" s="47" t="s">
        <v>763</v>
      </c>
      <c r="X21" s="48" t="s">
        <v>69</v>
      </c>
    </row>
    <row r="22" spans="1:24">
      <c r="A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9" t="s">
        <v>230</v>
      </c>
      <c r="O22" s="50">
        <v>37746</v>
      </c>
      <c r="P22" s="4" t="s">
        <v>12</v>
      </c>
      <c r="Q22" s="13">
        <v>16</v>
      </c>
      <c r="R22" s="13">
        <v>0</v>
      </c>
      <c r="S22" s="13">
        <v>1</v>
      </c>
      <c r="T22" s="13">
        <v>10</v>
      </c>
      <c r="U22" s="13">
        <v>33</v>
      </c>
      <c r="V22" s="46">
        <v>0.58899999999999997</v>
      </c>
      <c r="W22" s="47" t="s">
        <v>763</v>
      </c>
      <c r="X22" s="48" t="s">
        <v>231</v>
      </c>
    </row>
    <row r="23" spans="1:24">
      <c r="A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9" t="s">
        <v>282</v>
      </c>
      <c r="O23" s="50">
        <v>37079</v>
      </c>
      <c r="P23" s="4" t="s">
        <v>12</v>
      </c>
      <c r="Q23" s="13">
        <v>64</v>
      </c>
      <c r="R23" s="13">
        <v>5</v>
      </c>
      <c r="S23" s="13">
        <v>11</v>
      </c>
      <c r="T23" s="13">
        <v>77</v>
      </c>
      <c r="U23" s="13">
        <v>290</v>
      </c>
      <c r="V23" s="46">
        <f>PRODUCT(290/418)</f>
        <v>0.69377990430622005</v>
      </c>
      <c r="W23" s="47" t="s">
        <v>763</v>
      </c>
      <c r="X23" s="48" t="s">
        <v>66</v>
      </c>
    </row>
    <row r="24" spans="1:24">
      <c r="A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9" t="s">
        <v>746</v>
      </c>
      <c r="O24" s="50">
        <v>36472</v>
      </c>
      <c r="P24" s="4" t="s">
        <v>12</v>
      </c>
      <c r="Q24" s="13">
        <v>18</v>
      </c>
      <c r="R24" s="13">
        <v>0</v>
      </c>
      <c r="S24" s="13">
        <v>5</v>
      </c>
      <c r="T24" s="13">
        <v>13</v>
      </c>
      <c r="U24" s="13">
        <v>67</v>
      </c>
      <c r="V24" s="46">
        <f>PRODUCT(67/99)</f>
        <v>0.6767676767676768</v>
      </c>
      <c r="W24" s="47" t="s">
        <v>252</v>
      </c>
      <c r="X24" s="48" t="s">
        <v>66</v>
      </c>
    </row>
    <row r="25" spans="1:24">
      <c r="A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9" t="s">
        <v>749</v>
      </c>
      <c r="O25" s="50">
        <v>39104</v>
      </c>
      <c r="P25" s="4"/>
      <c r="Q25" s="13"/>
      <c r="R25" s="13"/>
      <c r="S25" s="13"/>
      <c r="T25" s="13"/>
      <c r="U25" s="13"/>
      <c r="V25" s="46"/>
      <c r="W25" s="66" t="s">
        <v>763</v>
      </c>
      <c r="X25" s="48" t="s">
        <v>60</v>
      </c>
    </row>
    <row r="26" spans="1:24">
      <c r="A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4"/>
      <c r="O26" s="11"/>
      <c r="P26" s="31"/>
      <c r="Q26" s="60"/>
      <c r="R26" s="60"/>
      <c r="S26" s="60"/>
      <c r="T26" s="60"/>
      <c r="U26" s="60"/>
      <c r="V26" s="68"/>
      <c r="W26" s="69"/>
      <c r="X26" s="30"/>
    </row>
    <row r="27" spans="1:24">
      <c r="A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2" t="s">
        <v>221</v>
      </c>
      <c r="O27" s="11"/>
      <c r="P27" s="31"/>
      <c r="Q27" s="11"/>
      <c r="R27" s="11"/>
      <c r="S27" s="11"/>
      <c r="T27" s="11"/>
      <c r="U27" s="11"/>
      <c r="V27" s="11"/>
      <c r="W27" s="70"/>
      <c r="X27" s="40"/>
    </row>
    <row r="28" spans="1:24">
      <c r="A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14" t="s">
        <v>5</v>
      </c>
      <c r="O28" s="41" t="s">
        <v>0</v>
      </c>
      <c r="P28" s="3" t="s">
        <v>3</v>
      </c>
      <c r="Q28" s="6" t="s">
        <v>13</v>
      </c>
      <c r="R28" s="6" t="s">
        <v>14</v>
      </c>
      <c r="S28" s="6" t="s">
        <v>15</v>
      </c>
      <c r="T28" s="6" t="s">
        <v>16</v>
      </c>
      <c r="U28" s="6" t="s">
        <v>17</v>
      </c>
      <c r="V28" s="42" t="s">
        <v>18</v>
      </c>
      <c r="W28" s="71" t="s">
        <v>222</v>
      </c>
      <c r="X28" s="33" t="s">
        <v>223</v>
      </c>
    </row>
    <row r="29" spans="1:24">
      <c r="A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9" t="s">
        <v>744</v>
      </c>
      <c r="O29" s="50">
        <v>37133</v>
      </c>
      <c r="P29" s="4" t="s">
        <v>61</v>
      </c>
      <c r="Q29" s="13">
        <v>28</v>
      </c>
      <c r="R29" s="13">
        <v>0</v>
      </c>
      <c r="S29" s="13">
        <v>5</v>
      </c>
      <c r="T29" s="13">
        <v>9</v>
      </c>
      <c r="U29" s="13">
        <v>81</v>
      </c>
      <c r="V29" s="46">
        <v>0.55500000000000005</v>
      </c>
      <c r="W29" s="72">
        <v>38.299999999999997</v>
      </c>
      <c r="X29" s="48" t="s">
        <v>252</v>
      </c>
    </row>
    <row r="30" spans="1:24">
      <c r="A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9" t="s">
        <v>745</v>
      </c>
      <c r="O30" s="50">
        <v>35432</v>
      </c>
      <c r="P30" s="4" t="s">
        <v>12</v>
      </c>
      <c r="Q30" s="13">
        <v>70</v>
      </c>
      <c r="R30" s="13">
        <v>1</v>
      </c>
      <c r="S30" s="13">
        <v>26</v>
      </c>
      <c r="T30" s="13">
        <v>21</v>
      </c>
      <c r="U30" s="13">
        <v>181</v>
      </c>
      <c r="V30" s="46">
        <v>0.47299999999999998</v>
      </c>
      <c r="W30" s="72">
        <v>107</v>
      </c>
      <c r="X30" s="48" t="s">
        <v>767</v>
      </c>
    </row>
    <row r="31" spans="1:24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9" t="s">
        <v>123</v>
      </c>
      <c r="O31" s="50">
        <v>37895</v>
      </c>
      <c r="P31" s="4" t="s">
        <v>72</v>
      </c>
      <c r="Q31" s="13">
        <v>19</v>
      </c>
      <c r="R31" s="13">
        <v>0</v>
      </c>
      <c r="S31" s="13">
        <v>3</v>
      </c>
      <c r="T31" s="13">
        <v>0</v>
      </c>
      <c r="U31" s="13">
        <v>17</v>
      </c>
      <c r="V31" s="46">
        <v>0.38600000000000001</v>
      </c>
      <c r="W31" s="72">
        <v>9.3000000000000007</v>
      </c>
      <c r="X31" s="48" t="s">
        <v>252</v>
      </c>
    </row>
    <row r="32" spans="1:24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9" t="s">
        <v>229</v>
      </c>
      <c r="O32" s="50">
        <v>38700</v>
      </c>
      <c r="P32" s="4" t="s">
        <v>12</v>
      </c>
      <c r="Q32" s="13">
        <v>3</v>
      </c>
      <c r="R32" s="13">
        <v>0</v>
      </c>
      <c r="S32" s="13">
        <v>0</v>
      </c>
      <c r="T32" s="13">
        <v>0</v>
      </c>
      <c r="U32" s="13">
        <v>2</v>
      </c>
      <c r="V32" s="46">
        <v>0.66700000000000004</v>
      </c>
      <c r="W32" s="72">
        <v>0</v>
      </c>
      <c r="X32" s="48" t="s">
        <v>763</v>
      </c>
    </row>
    <row r="33" spans="3:24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9" t="s">
        <v>230</v>
      </c>
      <c r="O33" s="50">
        <v>37746</v>
      </c>
      <c r="P33" s="4" t="s">
        <v>12</v>
      </c>
      <c r="Q33" s="13">
        <v>3</v>
      </c>
      <c r="R33" s="13">
        <v>0</v>
      </c>
      <c r="S33" s="13">
        <v>1</v>
      </c>
      <c r="T33" s="13">
        <v>1</v>
      </c>
      <c r="U33" s="13">
        <v>6</v>
      </c>
      <c r="V33" s="46">
        <v>0.5</v>
      </c>
      <c r="W33" s="72">
        <v>0</v>
      </c>
      <c r="X33" s="48" t="s">
        <v>763</v>
      </c>
    </row>
    <row r="34" spans="3:24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9" t="s">
        <v>139</v>
      </c>
      <c r="O34" s="50">
        <v>35897</v>
      </c>
      <c r="P34" s="4" t="s">
        <v>56</v>
      </c>
      <c r="Q34" s="13">
        <v>3</v>
      </c>
      <c r="R34" s="13">
        <v>0</v>
      </c>
      <c r="S34" s="13">
        <v>2</v>
      </c>
      <c r="T34" s="13">
        <v>0</v>
      </c>
      <c r="U34" s="13">
        <v>7</v>
      </c>
      <c r="V34" s="46">
        <v>0.438</v>
      </c>
      <c r="W34" s="72">
        <v>0</v>
      </c>
      <c r="X34" s="48" t="s">
        <v>763</v>
      </c>
    </row>
    <row r="35" spans="3:24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9" t="s">
        <v>226</v>
      </c>
      <c r="O35" s="50">
        <v>37369</v>
      </c>
      <c r="P35" s="4" t="s">
        <v>12</v>
      </c>
      <c r="Q35" s="13">
        <v>3</v>
      </c>
      <c r="R35" s="13">
        <v>0</v>
      </c>
      <c r="S35" s="13">
        <v>0</v>
      </c>
      <c r="T35" s="13">
        <v>1</v>
      </c>
      <c r="U35" s="13">
        <v>12</v>
      </c>
      <c r="V35" s="46">
        <v>0.63100000000000001</v>
      </c>
      <c r="W35" s="72">
        <v>0</v>
      </c>
      <c r="X35" s="48" t="s">
        <v>763</v>
      </c>
    </row>
    <row r="36" spans="3:24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9" t="s">
        <v>281</v>
      </c>
      <c r="O36" s="50">
        <v>35662</v>
      </c>
      <c r="P36" s="4" t="s">
        <v>12</v>
      </c>
      <c r="Q36" s="13">
        <v>3</v>
      </c>
      <c r="R36" s="13">
        <v>0</v>
      </c>
      <c r="S36" s="13">
        <v>0</v>
      </c>
      <c r="T36" s="13">
        <v>1</v>
      </c>
      <c r="U36" s="13">
        <v>3</v>
      </c>
      <c r="V36" s="46">
        <v>0.3</v>
      </c>
      <c r="W36" s="72">
        <v>0</v>
      </c>
      <c r="X36" s="48" t="s">
        <v>763</v>
      </c>
    </row>
    <row r="37" spans="3:24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9" t="s">
        <v>310</v>
      </c>
      <c r="O37" s="50">
        <v>38382</v>
      </c>
      <c r="P37" s="4" t="s">
        <v>108</v>
      </c>
      <c r="Q37" s="13">
        <v>3</v>
      </c>
      <c r="R37" s="13">
        <v>0</v>
      </c>
      <c r="S37" s="13">
        <v>1</v>
      </c>
      <c r="T37" s="13">
        <v>0</v>
      </c>
      <c r="U37" s="13">
        <v>9</v>
      </c>
      <c r="V37" s="46">
        <v>0.69199999999999995</v>
      </c>
      <c r="W37" s="72">
        <v>0</v>
      </c>
      <c r="X37" s="48" t="s">
        <v>763</v>
      </c>
    </row>
    <row r="38" spans="3:24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9" t="s">
        <v>743</v>
      </c>
      <c r="O38" s="50">
        <v>39224</v>
      </c>
      <c r="P38" s="4" t="s">
        <v>254</v>
      </c>
      <c r="Q38" s="13">
        <v>3</v>
      </c>
      <c r="R38" s="13">
        <v>1</v>
      </c>
      <c r="S38" s="13">
        <v>0</v>
      </c>
      <c r="T38" s="13">
        <v>3</v>
      </c>
      <c r="U38" s="13">
        <v>11</v>
      </c>
      <c r="V38" s="46">
        <v>0.55000000000000004</v>
      </c>
      <c r="W38" s="72">
        <v>0</v>
      </c>
      <c r="X38" s="48" t="s">
        <v>763</v>
      </c>
    </row>
    <row r="39" spans="3:24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9" t="s">
        <v>282</v>
      </c>
      <c r="O39" s="50">
        <v>37079</v>
      </c>
      <c r="P39" s="4" t="s">
        <v>12</v>
      </c>
      <c r="Q39" s="13">
        <v>3</v>
      </c>
      <c r="R39" s="13">
        <v>0</v>
      </c>
      <c r="S39" s="13">
        <v>0</v>
      </c>
      <c r="T39" s="13">
        <v>0</v>
      </c>
      <c r="U39" s="13">
        <v>10</v>
      </c>
      <c r="V39" s="46">
        <v>0.58799999999999997</v>
      </c>
      <c r="W39" s="72">
        <v>0</v>
      </c>
      <c r="X39" s="48" t="s">
        <v>763</v>
      </c>
    </row>
    <row r="40" spans="3:24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9" t="s">
        <v>746</v>
      </c>
      <c r="O40" s="50">
        <v>36472</v>
      </c>
      <c r="P40" s="4" t="s">
        <v>12</v>
      </c>
      <c r="Q40" s="13">
        <v>82</v>
      </c>
      <c r="R40" s="13">
        <v>5</v>
      </c>
      <c r="S40" s="13">
        <v>10</v>
      </c>
      <c r="T40" s="13">
        <v>65</v>
      </c>
      <c r="U40" s="13">
        <v>241</v>
      </c>
      <c r="V40" s="46">
        <v>0.52300000000000002</v>
      </c>
      <c r="W40" s="72">
        <v>170.3</v>
      </c>
      <c r="X40" s="48" t="s">
        <v>768</v>
      </c>
    </row>
    <row r="41" spans="3:24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4"/>
      <c r="O41" s="11"/>
      <c r="P41" s="24"/>
      <c r="Q41" s="11"/>
      <c r="R41" s="11"/>
      <c r="S41" s="11"/>
      <c r="T41" s="11"/>
      <c r="U41" s="11"/>
      <c r="V41" s="11"/>
      <c r="W41" s="24"/>
      <c r="X41" s="24"/>
    </row>
    <row r="42" spans="3:24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W42" s="2"/>
      <c r="X42" s="2"/>
    </row>
    <row r="43" spans="3:24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W43" s="2"/>
      <c r="X43" s="2"/>
    </row>
    <row r="44" spans="3:24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P44" s="2"/>
      <c r="W44" s="2"/>
      <c r="X44" s="2"/>
    </row>
    <row r="45" spans="3:24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P45" s="2"/>
      <c r="W45" s="2"/>
      <c r="X45" s="2"/>
    </row>
    <row r="46" spans="3:24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P46" s="2"/>
      <c r="W46" s="2"/>
      <c r="X46" s="2"/>
    </row>
    <row r="47" spans="3:24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P47" s="2"/>
      <c r="W47" s="2"/>
      <c r="X47" s="2"/>
    </row>
    <row r="48" spans="3:24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P48" s="2"/>
      <c r="W48" s="2"/>
      <c r="X48" s="2"/>
    </row>
    <row r="49" spans="3:24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P49" s="2"/>
      <c r="W49" s="2"/>
      <c r="X49" s="2"/>
    </row>
    <row r="50" spans="3:24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P50" s="2"/>
      <c r="W50" s="2"/>
      <c r="X50" s="2"/>
    </row>
    <row r="51" spans="3:24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P51" s="2"/>
      <c r="W51" s="2"/>
      <c r="X51" s="2"/>
    </row>
    <row r="52" spans="3:24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P52" s="2"/>
      <c r="W52" s="2"/>
      <c r="X52" s="2"/>
    </row>
    <row r="53" spans="3:24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P53" s="2"/>
      <c r="W53" s="2"/>
      <c r="X53" s="2"/>
    </row>
    <row r="54" spans="3:24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P54" s="2"/>
      <c r="W54" s="2"/>
      <c r="X54" s="2"/>
    </row>
    <row r="55" spans="3:24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P55" s="2"/>
      <c r="W55" s="2"/>
      <c r="X55" s="2"/>
    </row>
    <row r="56" spans="3:24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P56" s="2"/>
      <c r="W56" s="2"/>
      <c r="X56" s="2"/>
    </row>
    <row r="57" spans="3:24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P57" s="2"/>
      <c r="W57" s="2"/>
      <c r="X57" s="2"/>
    </row>
    <row r="58" spans="3:24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P58" s="2"/>
      <c r="W58" s="2"/>
      <c r="X58" s="2"/>
    </row>
    <row r="59" spans="3:24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P59" s="2"/>
      <c r="W59" s="2"/>
      <c r="X59" s="2"/>
    </row>
    <row r="60" spans="3:24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P60" s="2"/>
      <c r="W60" s="2"/>
      <c r="X60" s="2"/>
    </row>
    <row r="61" spans="3:24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P61" s="2"/>
      <c r="W61" s="2"/>
      <c r="X61" s="2"/>
    </row>
    <row r="62" spans="3:24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P62" s="2"/>
      <c r="W62" s="2"/>
      <c r="X62" s="2"/>
    </row>
    <row r="63" spans="3:24">
      <c r="P63" s="2"/>
      <c r="W63" s="2"/>
      <c r="X63" s="2"/>
    </row>
    <row r="64" spans="3:24">
      <c r="P64" s="2"/>
      <c r="W64" s="2"/>
      <c r="X64" s="2"/>
    </row>
    <row r="65" spans="16:24">
      <c r="P65" s="2"/>
      <c r="W65" s="2"/>
      <c r="X65" s="2"/>
    </row>
    <row r="66" spans="16:24">
      <c r="P66" s="2"/>
      <c r="W66" s="2"/>
      <c r="X66" s="2"/>
    </row>
    <row r="67" spans="16:24">
      <c r="P67" s="2"/>
      <c r="W67" s="2"/>
      <c r="X67" s="2"/>
    </row>
  </sheetData>
  <sortState xmlns:xlrd2="http://schemas.microsoft.com/office/spreadsheetml/2017/richdata2" ref="M23:X33">
    <sortCondition ref="M23"/>
  </sortState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Z53"/>
  <sheetViews>
    <sheetView zoomScale="93" zoomScaleNormal="93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0.5703125" style="2" customWidth="1"/>
    <col min="15" max="15" width="13.140625" style="6" customWidth="1"/>
    <col min="16" max="16" width="12.85546875" style="3" bestFit="1" customWidth="1"/>
    <col min="17" max="21" width="6.7109375" style="6" customWidth="1"/>
    <col min="22" max="22" width="10.7109375" style="6" customWidth="1"/>
    <col min="23" max="23" width="14.7109375" style="6" customWidth="1"/>
    <col min="24" max="24" width="11" style="6" customWidth="1"/>
    <col min="25" max="25" width="22.28515625" style="22" bestFit="1" customWidth="1"/>
    <col min="26" max="26" width="9.140625" style="1" customWidth="1"/>
    <col min="27" max="16384" width="9.140625" style="4"/>
  </cols>
  <sheetData>
    <row r="1" spans="2:25" s="21" customFormat="1" ht="18.75">
      <c r="B1" s="28" t="s">
        <v>224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"/>
      <c r="N1" s="19"/>
    </row>
    <row r="2" spans="2:25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232</v>
      </c>
      <c r="P2" s="31"/>
      <c r="Q2" s="11"/>
      <c r="R2" s="11"/>
      <c r="S2" s="11"/>
      <c r="T2" s="11"/>
      <c r="U2" s="11"/>
      <c r="V2" s="11"/>
      <c r="W2" s="11"/>
      <c r="X2" s="11"/>
      <c r="Y2" s="25"/>
    </row>
    <row r="3" spans="2:25">
      <c r="B3" s="104" t="s">
        <v>40</v>
      </c>
      <c r="C3" s="106" t="s">
        <v>36</v>
      </c>
      <c r="D3" s="106" t="s">
        <v>36</v>
      </c>
      <c r="E3" s="106" t="s">
        <v>36</v>
      </c>
      <c r="F3" s="107">
        <v>6</v>
      </c>
      <c r="G3" s="107">
        <v>4</v>
      </c>
      <c r="H3" s="107">
        <v>1</v>
      </c>
      <c r="I3" s="106">
        <v>2</v>
      </c>
      <c r="J3" s="106">
        <v>3</v>
      </c>
      <c r="K3" s="106" t="s">
        <v>36</v>
      </c>
      <c r="L3" s="106" t="s">
        <v>36</v>
      </c>
      <c r="M3" s="2"/>
      <c r="N3" s="32" t="s">
        <v>116</v>
      </c>
      <c r="O3" s="5" t="s">
        <v>742</v>
      </c>
      <c r="Y3" s="33"/>
    </row>
    <row r="4" spans="2:25">
      <c r="B4" s="104" t="s">
        <v>41</v>
      </c>
      <c r="C4" s="106" t="s">
        <v>36</v>
      </c>
      <c r="D4" s="106" t="s">
        <v>36</v>
      </c>
      <c r="E4" s="106" t="s">
        <v>36</v>
      </c>
      <c r="F4" s="106">
        <v>5</v>
      </c>
      <c r="G4" s="106">
        <v>2</v>
      </c>
      <c r="H4" s="106">
        <v>5</v>
      </c>
      <c r="I4" s="106" t="s">
        <v>36</v>
      </c>
      <c r="J4" s="106">
        <v>7</v>
      </c>
      <c r="K4" s="106" t="s">
        <v>36</v>
      </c>
      <c r="L4" s="106" t="s">
        <v>36</v>
      </c>
      <c r="M4" s="2"/>
      <c r="N4" s="32" t="s">
        <v>115</v>
      </c>
      <c r="O4" s="5" t="s">
        <v>233</v>
      </c>
      <c r="Y4" s="33"/>
    </row>
    <row r="5" spans="2:25">
      <c r="B5" s="104" t="s">
        <v>42</v>
      </c>
      <c r="C5" s="106" t="s">
        <v>36</v>
      </c>
      <c r="D5" s="106">
        <v>5</v>
      </c>
      <c r="E5" s="106">
        <v>3</v>
      </c>
      <c r="F5" s="107">
        <v>3</v>
      </c>
      <c r="G5" s="107">
        <v>2</v>
      </c>
      <c r="H5" s="112" t="s">
        <v>49</v>
      </c>
      <c r="I5" s="107">
        <v>3</v>
      </c>
      <c r="J5" s="107">
        <v>4</v>
      </c>
      <c r="K5" s="107">
        <v>9</v>
      </c>
      <c r="L5" s="107">
        <v>9</v>
      </c>
      <c r="M5" s="2"/>
      <c r="N5" s="32" t="s">
        <v>1</v>
      </c>
      <c r="O5" s="21" t="s">
        <v>318</v>
      </c>
      <c r="Y5" s="33"/>
    </row>
    <row r="6" spans="2:25">
      <c r="B6" s="104" t="s">
        <v>118</v>
      </c>
      <c r="C6" s="107">
        <v>6</v>
      </c>
      <c r="D6" s="107">
        <v>4</v>
      </c>
      <c r="E6" s="107">
        <v>1</v>
      </c>
      <c r="F6" s="108">
        <v>5</v>
      </c>
      <c r="G6" s="91"/>
      <c r="H6" s="91"/>
      <c r="I6" s="91"/>
      <c r="J6" s="91"/>
      <c r="K6" s="91"/>
      <c r="L6" s="92"/>
      <c r="M6" s="2"/>
      <c r="N6" s="34" t="s">
        <v>2</v>
      </c>
      <c r="O6" s="35" t="s">
        <v>234</v>
      </c>
      <c r="P6" s="36"/>
      <c r="Q6" s="37"/>
      <c r="R6" s="37"/>
      <c r="S6" s="37"/>
      <c r="T6" s="37"/>
      <c r="U6" s="37"/>
      <c r="V6" s="37"/>
      <c r="W6" s="37"/>
      <c r="X6" s="37"/>
      <c r="Y6" s="38"/>
    </row>
    <row r="7" spans="2:25">
      <c r="I7" s="4"/>
      <c r="J7" s="4"/>
      <c r="K7" s="4"/>
      <c r="L7" s="4"/>
      <c r="M7" s="2"/>
      <c r="Y7" s="2"/>
    </row>
    <row r="8" spans="2:25">
      <c r="B8" s="90" t="s">
        <v>35</v>
      </c>
      <c r="C8" s="9"/>
      <c r="D8" s="52" t="s">
        <v>268</v>
      </c>
      <c r="E8" s="53"/>
      <c r="F8" s="53"/>
      <c r="G8" s="84" t="s">
        <v>269</v>
      </c>
      <c r="H8" s="85"/>
      <c r="I8" s="86"/>
      <c r="J8" s="54" t="s">
        <v>220</v>
      </c>
      <c r="K8" s="55"/>
      <c r="L8" s="56"/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11"/>
      <c r="X8" s="39"/>
      <c r="Y8" s="40"/>
    </row>
    <row r="9" spans="2:25">
      <c r="B9" s="57"/>
      <c r="C9" s="2"/>
      <c r="D9" s="2"/>
      <c r="E9" s="2"/>
      <c r="F9" s="13"/>
      <c r="G9" s="13"/>
      <c r="H9" s="13"/>
      <c r="I9" s="2"/>
      <c r="J9" s="2"/>
      <c r="K9" s="2"/>
      <c r="L9" s="2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565</v>
      </c>
      <c r="X9" s="96" t="s">
        <v>31</v>
      </c>
      <c r="Y9" s="43"/>
    </row>
    <row r="10" spans="2:25">
      <c r="B10" s="2" t="s">
        <v>612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44" t="s">
        <v>235</v>
      </c>
      <c r="O10" s="45">
        <v>37370</v>
      </c>
      <c r="P10" s="4" t="s">
        <v>88</v>
      </c>
      <c r="Q10" s="13">
        <v>40</v>
      </c>
      <c r="R10" s="13">
        <v>2</v>
      </c>
      <c r="S10" s="13">
        <v>31</v>
      </c>
      <c r="T10" s="13">
        <v>9</v>
      </c>
      <c r="U10" s="13">
        <v>114</v>
      </c>
      <c r="V10" s="46">
        <v>0.53800000000000003</v>
      </c>
      <c r="W10" s="47" t="s">
        <v>628</v>
      </c>
      <c r="X10" s="47" t="s">
        <v>89</v>
      </c>
      <c r="Y10" s="48"/>
    </row>
    <row r="11" spans="2: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44" t="s">
        <v>734</v>
      </c>
      <c r="O11" s="45">
        <v>38487</v>
      </c>
      <c r="P11" s="4" t="s">
        <v>85</v>
      </c>
      <c r="Q11" s="13">
        <v>25</v>
      </c>
      <c r="R11" s="13">
        <v>1</v>
      </c>
      <c r="S11" s="13">
        <v>20</v>
      </c>
      <c r="T11" s="13">
        <v>10</v>
      </c>
      <c r="U11" s="13">
        <v>67</v>
      </c>
      <c r="V11" s="46">
        <f>PRODUCT(67/134)</f>
        <v>0.5</v>
      </c>
      <c r="W11" s="47" t="s">
        <v>641</v>
      </c>
      <c r="X11" s="47" t="s">
        <v>59</v>
      </c>
      <c r="Y11" s="48"/>
    </row>
    <row r="12" spans="2: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4" t="s">
        <v>735</v>
      </c>
      <c r="O12" s="45">
        <v>39406</v>
      </c>
      <c r="P12" s="4" t="s">
        <v>9</v>
      </c>
      <c r="Q12" s="13"/>
      <c r="R12" s="13"/>
      <c r="S12" s="13"/>
      <c r="T12" s="13"/>
      <c r="U12" s="13"/>
      <c r="V12" s="46"/>
      <c r="W12" s="47" t="s">
        <v>628</v>
      </c>
      <c r="X12" s="47" t="s">
        <v>8</v>
      </c>
      <c r="Y12" s="48"/>
    </row>
    <row r="13" spans="2: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4" t="s">
        <v>738</v>
      </c>
      <c r="O13" s="45">
        <v>39450</v>
      </c>
      <c r="P13" s="4" t="s">
        <v>9</v>
      </c>
      <c r="Q13" s="13"/>
      <c r="R13" s="13"/>
      <c r="S13" s="13"/>
      <c r="T13" s="13"/>
      <c r="U13" s="13"/>
      <c r="V13" s="46"/>
      <c r="W13" s="47" t="s">
        <v>628</v>
      </c>
      <c r="X13" s="47" t="s">
        <v>8</v>
      </c>
      <c r="Y13" s="48"/>
    </row>
    <row r="14" spans="2:25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4" t="s">
        <v>605</v>
      </c>
      <c r="O14" s="45">
        <v>38669</v>
      </c>
      <c r="P14" s="4" t="s">
        <v>176</v>
      </c>
      <c r="Q14" s="13">
        <v>6</v>
      </c>
      <c r="R14" s="13">
        <v>1</v>
      </c>
      <c r="S14" s="13">
        <v>3</v>
      </c>
      <c r="T14" s="13">
        <v>6</v>
      </c>
      <c r="U14" s="13">
        <v>29</v>
      </c>
      <c r="V14" s="46">
        <f>PRODUCT(19/25)</f>
        <v>0.76</v>
      </c>
      <c r="W14" s="47" t="s">
        <v>628</v>
      </c>
      <c r="X14" s="47" t="s">
        <v>177</v>
      </c>
      <c r="Y14" s="48"/>
    </row>
    <row r="15" spans="2:25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4" t="s">
        <v>741</v>
      </c>
      <c r="O15" s="45">
        <v>38849</v>
      </c>
      <c r="P15" s="4" t="s">
        <v>9</v>
      </c>
      <c r="Q15" s="13">
        <v>8</v>
      </c>
      <c r="R15" s="13">
        <v>0</v>
      </c>
      <c r="S15" s="13">
        <v>1</v>
      </c>
      <c r="T15" s="13">
        <v>5</v>
      </c>
      <c r="U15" s="13">
        <v>15</v>
      </c>
      <c r="V15" s="46">
        <f>PRODUCT(15/25)</f>
        <v>0.6</v>
      </c>
      <c r="W15" s="47" t="s">
        <v>628</v>
      </c>
      <c r="X15" s="47" t="s">
        <v>8</v>
      </c>
      <c r="Y15" s="48"/>
    </row>
    <row r="16" spans="2:25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4" t="s">
        <v>737</v>
      </c>
      <c r="O16" s="45">
        <v>39091</v>
      </c>
      <c r="P16" s="4" t="s">
        <v>9</v>
      </c>
      <c r="Q16" s="13"/>
      <c r="R16" s="13"/>
      <c r="S16" s="13"/>
      <c r="T16" s="13"/>
      <c r="U16" s="13"/>
      <c r="V16" s="46"/>
      <c r="W16" s="47" t="s">
        <v>628</v>
      </c>
      <c r="X16" s="47" t="s">
        <v>8</v>
      </c>
      <c r="Y16" s="48"/>
    </row>
    <row r="17" spans="1:2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9" t="s">
        <v>237</v>
      </c>
      <c r="O17" s="50">
        <v>38668</v>
      </c>
      <c r="P17" s="4" t="s">
        <v>84</v>
      </c>
      <c r="Q17" s="13">
        <v>11</v>
      </c>
      <c r="R17" s="13">
        <v>0</v>
      </c>
      <c r="S17" s="13">
        <v>2</v>
      </c>
      <c r="T17" s="13">
        <v>2</v>
      </c>
      <c r="U17" s="13">
        <v>15</v>
      </c>
      <c r="V17" s="46">
        <v>0.57699999999999996</v>
      </c>
      <c r="W17" s="47" t="s">
        <v>628</v>
      </c>
      <c r="X17" s="47" t="s">
        <v>8</v>
      </c>
      <c r="Y17" s="51"/>
    </row>
    <row r="18" spans="1:2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9" t="s">
        <v>736</v>
      </c>
      <c r="O18" s="50">
        <v>39075</v>
      </c>
      <c r="P18" s="4" t="s">
        <v>9</v>
      </c>
      <c r="Q18" s="13">
        <v>11</v>
      </c>
      <c r="R18" s="13">
        <v>0</v>
      </c>
      <c r="S18" s="13">
        <v>0</v>
      </c>
      <c r="T18" s="13">
        <v>3</v>
      </c>
      <c r="U18" s="13">
        <v>13</v>
      </c>
      <c r="V18" s="46">
        <f>PRODUCT(13/34)</f>
        <v>0.38235294117647056</v>
      </c>
      <c r="W18" s="47" t="s">
        <v>628</v>
      </c>
      <c r="X18" s="47" t="s">
        <v>8</v>
      </c>
      <c r="Y18" s="51"/>
    </row>
    <row r="19" spans="1:2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9" t="s">
        <v>172</v>
      </c>
      <c r="O19" s="58">
        <v>38669</v>
      </c>
      <c r="P19" s="20" t="s">
        <v>9</v>
      </c>
      <c r="Q19" s="13">
        <v>37</v>
      </c>
      <c r="R19" s="13">
        <v>0</v>
      </c>
      <c r="S19" s="13">
        <v>11</v>
      </c>
      <c r="T19" s="13">
        <v>5</v>
      </c>
      <c r="U19" s="13">
        <v>50</v>
      </c>
      <c r="V19" s="46">
        <v>0.44600000000000001</v>
      </c>
      <c r="W19" s="47" t="s">
        <v>628</v>
      </c>
      <c r="X19" s="47" t="s">
        <v>6</v>
      </c>
      <c r="Y19" s="48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9" t="s">
        <v>238</v>
      </c>
      <c r="O20" s="50">
        <v>39633</v>
      </c>
      <c r="P20" s="4" t="s">
        <v>9</v>
      </c>
      <c r="Q20" s="13">
        <v>12</v>
      </c>
      <c r="R20" s="13">
        <v>1</v>
      </c>
      <c r="S20" s="13">
        <v>27</v>
      </c>
      <c r="T20" s="13">
        <v>13</v>
      </c>
      <c r="U20" s="13">
        <v>66</v>
      </c>
      <c r="V20" s="46">
        <v>0.70199999999999996</v>
      </c>
      <c r="W20" s="47" t="s">
        <v>630</v>
      </c>
      <c r="X20" s="47" t="s">
        <v>8</v>
      </c>
      <c r="Y20" s="48"/>
    </row>
    <row r="21" spans="1:25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4" t="s">
        <v>740</v>
      </c>
      <c r="O21" s="45">
        <v>39524</v>
      </c>
      <c r="P21" s="4" t="s">
        <v>9</v>
      </c>
      <c r="Q21" s="13"/>
      <c r="R21" s="13"/>
      <c r="S21" s="13"/>
      <c r="T21" s="13"/>
      <c r="U21" s="13"/>
      <c r="V21" s="46"/>
      <c r="W21" s="47" t="s">
        <v>628</v>
      </c>
      <c r="X21" s="47" t="s">
        <v>8</v>
      </c>
      <c r="Y21" s="48"/>
    </row>
    <row r="22" spans="1:25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4" t="s">
        <v>733</v>
      </c>
      <c r="O22" s="45">
        <v>38677</v>
      </c>
      <c r="P22" s="4" t="s">
        <v>176</v>
      </c>
      <c r="Q22" s="13">
        <v>25</v>
      </c>
      <c r="R22" s="13">
        <v>1</v>
      </c>
      <c r="S22" s="13">
        <v>10</v>
      </c>
      <c r="T22" s="13">
        <v>10</v>
      </c>
      <c r="U22" s="13">
        <v>62</v>
      </c>
      <c r="V22" s="46">
        <f>PRODUCT(62/124)</f>
        <v>0.5</v>
      </c>
      <c r="W22" s="47" t="s">
        <v>619</v>
      </c>
      <c r="X22" s="47" t="s">
        <v>177</v>
      </c>
      <c r="Y22" s="48"/>
    </row>
    <row r="23" spans="1:25">
      <c r="A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4" t="s">
        <v>606</v>
      </c>
      <c r="O23" s="45">
        <v>39160</v>
      </c>
      <c r="P23" s="4" t="s">
        <v>11</v>
      </c>
      <c r="Q23" s="13">
        <v>24</v>
      </c>
      <c r="R23" s="13">
        <v>4</v>
      </c>
      <c r="S23" s="13">
        <v>40</v>
      </c>
      <c r="T23" s="13">
        <v>13</v>
      </c>
      <c r="U23" s="13">
        <v>72</v>
      </c>
      <c r="V23" s="46">
        <v>0.53700000000000003</v>
      </c>
      <c r="W23" s="47" t="s">
        <v>628</v>
      </c>
      <c r="X23" s="47" t="s">
        <v>20</v>
      </c>
      <c r="Y23" s="48"/>
    </row>
    <row r="24" spans="1:25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4" t="s">
        <v>607</v>
      </c>
      <c r="O24" s="45">
        <v>39310</v>
      </c>
      <c r="P24" s="4" t="s">
        <v>9</v>
      </c>
      <c r="Q24" s="13">
        <v>11</v>
      </c>
      <c r="R24" s="13">
        <v>2</v>
      </c>
      <c r="S24" s="13">
        <v>1</v>
      </c>
      <c r="T24" s="13">
        <v>25</v>
      </c>
      <c r="U24" s="13">
        <v>50</v>
      </c>
      <c r="V24" s="46">
        <v>0.73499999999999999</v>
      </c>
      <c r="W24" s="47" t="s">
        <v>628</v>
      </c>
      <c r="X24" s="47" t="s">
        <v>8</v>
      </c>
      <c r="Y24" s="48"/>
    </row>
    <row r="25" spans="1:25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59" t="s">
        <v>239</v>
      </c>
      <c r="O25" s="50">
        <v>38540</v>
      </c>
      <c r="P25" s="4" t="s">
        <v>240</v>
      </c>
      <c r="Q25" s="13"/>
      <c r="R25" s="13"/>
      <c r="S25" s="13"/>
      <c r="T25" s="13"/>
      <c r="U25" s="13"/>
      <c r="V25" s="46"/>
      <c r="W25" s="47" t="s">
        <v>631</v>
      </c>
      <c r="X25" s="47" t="s">
        <v>616</v>
      </c>
      <c r="Y25" s="48"/>
    </row>
    <row r="26" spans="1:25">
      <c r="A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59" t="s">
        <v>241</v>
      </c>
      <c r="O26" s="50">
        <v>38412</v>
      </c>
      <c r="P26" s="4" t="s">
        <v>7</v>
      </c>
      <c r="Q26" s="13">
        <v>37</v>
      </c>
      <c r="R26" s="13">
        <v>8</v>
      </c>
      <c r="S26" s="13">
        <v>21</v>
      </c>
      <c r="T26" s="13">
        <v>103</v>
      </c>
      <c r="U26" s="13">
        <v>183</v>
      </c>
      <c r="V26" s="46">
        <v>0.73799999999999999</v>
      </c>
      <c r="W26" s="47" t="s">
        <v>628</v>
      </c>
      <c r="X26" s="47" t="s">
        <v>6</v>
      </c>
      <c r="Y26" s="48"/>
    </row>
    <row r="27" spans="1:25">
      <c r="A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59" t="s">
        <v>739</v>
      </c>
      <c r="O27" s="50">
        <v>38891</v>
      </c>
      <c r="P27" s="4" t="s">
        <v>7</v>
      </c>
      <c r="Q27" s="13">
        <v>3</v>
      </c>
      <c r="R27" s="13">
        <v>0</v>
      </c>
      <c r="S27" s="13">
        <v>0</v>
      </c>
      <c r="T27" s="13">
        <v>0</v>
      </c>
      <c r="U27" s="13">
        <v>6</v>
      </c>
      <c r="V27" s="65">
        <v>35</v>
      </c>
      <c r="W27" s="66" t="s">
        <v>628</v>
      </c>
      <c r="X27" s="47" t="s">
        <v>6</v>
      </c>
      <c r="Y27" s="48"/>
    </row>
    <row r="28" spans="1:25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4"/>
      <c r="O28" s="11"/>
      <c r="P28" s="31"/>
      <c r="Q28" s="60"/>
      <c r="R28" s="60"/>
      <c r="S28" s="60"/>
      <c r="T28" s="60"/>
      <c r="U28" s="60"/>
      <c r="V28" s="60"/>
      <c r="W28" s="68"/>
      <c r="X28" s="69"/>
      <c r="Y28" s="30"/>
    </row>
    <row r="29" spans="1:25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12" t="s">
        <v>221</v>
      </c>
      <c r="O29" s="11"/>
      <c r="P29" s="31"/>
      <c r="Q29" s="11"/>
      <c r="R29" s="11"/>
      <c r="S29" s="11"/>
      <c r="T29" s="11"/>
      <c r="U29" s="11"/>
      <c r="V29" s="11"/>
      <c r="W29" s="11"/>
      <c r="X29" s="70"/>
      <c r="Y29" s="40"/>
    </row>
    <row r="30" spans="1:25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14" t="s">
        <v>5</v>
      </c>
      <c r="O30" s="41" t="s">
        <v>0</v>
      </c>
      <c r="P30" s="3" t="s">
        <v>3</v>
      </c>
      <c r="Q30" s="6" t="s">
        <v>13</v>
      </c>
      <c r="R30" s="6" t="s">
        <v>14</v>
      </c>
      <c r="S30" s="6" t="s">
        <v>15</v>
      </c>
      <c r="T30" s="6" t="s">
        <v>16</v>
      </c>
      <c r="U30" s="6" t="s">
        <v>17</v>
      </c>
      <c r="V30" s="42" t="s">
        <v>18</v>
      </c>
      <c r="W30" s="71" t="s">
        <v>222</v>
      </c>
      <c r="X30" s="19" t="s">
        <v>223</v>
      </c>
      <c r="Y30" s="33"/>
    </row>
    <row r="31" spans="1:25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9" t="s">
        <v>238</v>
      </c>
      <c r="O31" s="50">
        <v>39633</v>
      </c>
      <c r="P31" s="4" t="s">
        <v>9</v>
      </c>
      <c r="Q31" s="13">
        <v>3</v>
      </c>
      <c r="R31" s="13">
        <v>0</v>
      </c>
      <c r="S31" s="13">
        <v>2</v>
      </c>
      <c r="T31" s="13">
        <v>0</v>
      </c>
      <c r="U31" s="13">
        <v>4</v>
      </c>
      <c r="V31" s="46">
        <v>0.4</v>
      </c>
      <c r="W31" s="72">
        <v>3.7</v>
      </c>
      <c r="X31" s="156" t="s">
        <v>629</v>
      </c>
      <c r="Y31" s="48"/>
    </row>
    <row r="32" spans="1:25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4" t="s">
        <v>734</v>
      </c>
      <c r="O32" s="45">
        <v>38487</v>
      </c>
      <c r="P32" s="4" t="s">
        <v>85</v>
      </c>
      <c r="Q32" s="13">
        <v>3</v>
      </c>
      <c r="R32" s="13">
        <v>0</v>
      </c>
      <c r="S32" s="13">
        <v>3</v>
      </c>
      <c r="T32" s="13">
        <v>0</v>
      </c>
      <c r="U32" s="13">
        <v>6</v>
      </c>
      <c r="V32" s="46">
        <v>0.4</v>
      </c>
      <c r="W32" s="72">
        <v>0</v>
      </c>
      <c r="X32" s="47" t="s">
        <v>614</v>
      </c>
      <c r="Y32" s="48"/>
    </row>
    <row r="33" spans="3:2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4"/>
      <c r="O33" s="11"/>
      <c r="P33" s="24"/>
      <c r="Q33" s="11"/>
      <c r="R33" s="11"/>
      <c r="S33" s="11"/>
      <c r="T33" s="11"/>
      <c r="U33" s="11"/>
      <c r="V33" s="11"/>
      <c r="W33" s="11"/>
      <c r="X33" s="24"/>
      <c r="Y33" s="24"/>
    </row>
    <row r="34" spans="3:2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P34" s="2"/>
      <c r="X34" s="2"/>
      <c r="Y34" s="2"/>
    </row>
    <row r="35" spans="3:2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P35" s="2"/>
      <c r="X35" s="2"/>
      <c r="Y35" s="2"/>
    </row>
    <row r="36" spans="3:2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P36" s="2"/>
      <c r="X36" s="2"/>
      <c r="Y36" s="2"/>
    </row>
    <row r="37" spans="3:2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P37" s="2"/>
      <c r="X37" s="2"/>
      <c r="Y37" s="2"/>
    </row>
    <row r="38" spans="3:2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P38" s="2"/>
      <c r="X38" s="2"/>
      <c r="Y38" s="2"/>
    </row>
    <row r="39" spans="3: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2"/>
      <c r="X39" s="2"/>
      <c r="Y39" s="2"/>
    </row>
    <row r="40" spans="3: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"/>
      <c r="X40" s="2"/>
      <c r="Y40" s="2"/>
    </row>
    <row r="41" spans="3: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P41" s="2"/>
      <c r="X41" s="2"/>
      <c r="Y41" s="2"/>
    </row>
    <row r="42" spans="3: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X42" s="2"/>
      <c r="Y42" s="2"/>
    </row>
    <row r="43" spans="3: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X43" s="2"/>
      <c r="Y43" s="2"/>
    </row>
    <row r="44" spans="3: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P44" s="2"/>
      <c r="X44" s="2"/>
      <c r="Y44" s="2"/>
    </row>
    <row r="45" spans="3: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P45" s="2"/>
      <c r="X45" s="2"/>
      <c r="Y45" s="2"/>
    </row>
    <row r="46" spans="3: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P46" s="2"/>
      <c r="X46" s="2"/>
      <c r="Y46" s="2"/>
    </row>
    <row r="47" spans="3: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P47" s="2"/>
      <c r="X47" s="2"/>
      <c r="Y47" s="2"/>
    </row>
    <row r="48" spans="3: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P48" s="2"/>
      <c r="X48" s="2"/>
      <c r="Y48" s="2"/>
    </row>
    <row r="49" spans="16:25">
      <c r="P49" s="2"/>
      <c r="X49" s="2"/>
      <c r="Y49" s="2"/>
    </row>
    <row r="50" spans="16:25">
      <c r="P50" s="2"/>
      <c r="X50" s="2"/>
      <c r="Y50" s="2"/>
    </row>
    <row r="51" spans="16:25">
      <c r="P51" s="2"/>
      <c r="X51" s="2"/>
      <c r="Y51" s="2"/>
    </row>
    <row r="52" spans="16:25">
      <c r="P52" s="2"/>
      <c r="X52" s="2"/>
      <c r="Y52" s="2"/>
    </row>
    <row r="53" spans="16:25">
      <c r="P53" s="2"/>
      <c r="X53" s="2"/>
      <c r="Y53" s="2"/>
    </row>
  </sheetData>
  <sortState xmlns:xlrd2="http://schemas.microsoft.com/office/spreadsheetml/2017/richdata2" ref="N31:Y32">
    <sortCondition ref="N31:N32"/>
  </sortState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64"/>
  <sheetViews>
    <sheetView zoomScale="93" zoomScaleNormal="93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0.5703125" style="2" customWidth="1"/>
    <col min="15" max="15" width="13.140625" style="6" customWidth="1"/>
    <col min="16" max="16" width="12.85546875" style="3" bestFit="1" customWidth="1"/>
    <col min="17" max="21" width="6.7109375" style="6" customWidth="1"/>
    <col min="22" max="22" width="11.7109375" style="6" customWidth="1"/>
    <col min="23" max="23" width="14.42578125" style="6" customWidth="1"/>
    <col min="24" max="24" width="11" style="6" customWidth="1"/>
    <col min="25" max="25" width="22.28515625" style="22" bestFit="1" customWidth="1"/>
    <col min="26" max="16384" width="9.140625" style="1"/>
  </cols>
  <sheetData>
    <row r="1" spans="1:25" ht="18.75">
      <c r="A1" s="76"/>
      <c r="B1" s="75" t="s">
        <v>341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7"/>
      <c r="N1" s="78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342</v>
      </c>
      <c r="P2" s="31"/>
      <c r="Q2" s="11"/>
      <c r="R2" s="11"/>
      <c r="S2" s="11"/>
      <c r="T2" s="11"/>
      <c r="U2" s="11"/>
      <c r="V2" s="11"/>
      <c r="W2" s="11"/>
      <c r="X2" s="11"/>
      <c r="Y2" s="25"/>
    </row>
    <row r="3" spans="1:25">
      <c r="B3" s="104" t="s">
        <v>39</v>
      </c>
      <c r="C3" s="91"/>
      <c r="D3" s="91"/>
      <c r="E3" s="91"/>
      <c r="F3" s="91"/>
      <c r="G3" s="91"/>
      <c r="H3" s="91"/>
      <c r="I3" s="91"/>
      <c r="J3" s="91"/>
      <c r="K3" s="108">
        <v>2</v>
      </c>
      <c r="L3" s="108">
        <v>1</v>
      </c>
      <c r="M3" s="2"/>
      <c r="N3" s="118" t="s">
        <v>116</v>
      </c>
      <c r="O3" s="20" t="s">
        <v>751</v>
      </c>
      <c r="Y3" s="33"/>
    </row>
    <row r="4" spans="1:25">
      <c r="B4" s="104" t="s">
        <v>40</v>
      </c>
      <c r="C4" s="110">
        <v>9</v>
      </c>
      <c r="D4" s="110">
        <v>8</v>
      </c>
      <c r="E4" s="110">
        <v>8</v>
      </c>
      <c r="F4" s="110">
        <v>2</v>
      </c>
      <c r="G4" s="110">
        <v>2</v>
      </c>
      <c r="H4" s="110">
        <v>2</v>
      </c>
      <c r="I4" s="110">
        <v>4</v>
      </c>
      <c r="J4" s="110">
        <v>9</v>
      </c>
      <c r="K4" s="110">
        <v>4</v>
      </c>
      <c r="L4" s="110">
        <v>1</v>
      </c>
      <c r="M4" s="2"/>
      <c r="N4" s="118" t="s">
        <v>115</v>
      </c>
      <c r="O4" s="5" t="s">
        <v>592</v>
      </c>
      <c r="Y4" s="33"/>
    </row>
    <row r="5" spans="1:25">
      <c r="B5" s="104" t="s">
        <v>41</v>
      </c>
      <c r="C5" s="110">
        <v>4</v>
      </c>
      <c r="D5" s="110">
        <v>7</v>
      </c>
      <c r="E5" s="110">
        <v>5</v>
      </c>
      <c r="F5" s="110">
        <v>4</v>
      </c>
      <c r="G5" s="110">
        <v>4</v>
      </c>
      <c r="H5" s="110">
        <v>6</v>
      </c>
      <c r="I5" s="110">
        <v>8</v>
      </c>
      <c r="J5" s="110">
        <v>10</v>
      </c>
      <c r="K5" s="110">
        <v>8</v>
      </c>
      <c r="L5" s="110">
        <v>10</v>
      </c>
      <c r="M5" s="2"/>
      <c r="N5" s="118" t="s">
        <v>1</v>
      </c>
      <c r="O5" s="4" t="s">
        <v>343</v>
      </c>
      <c r="Y5" s="33"/>
    </row>
    <row r="6" spans="1:25">
      <c r="B6" s="104" t="s">
        <v>42</v>
      </c>
      <c r="C6" s="110">
        <v>8</v>
      </c>
      <c r="D6" s="110">
        <v>10</v>
      </c>
      <c r="E6" s="107">
        <v>1</v>
      </c>
      <c r="F6" s="107">
        <v>5</v>
      </c>
      <c r="G6" s="106">
        <v>1</v>
      </c>
      <c r="H6" s="107">
        <v>6</v>
      </c>
      <c r="I6" s="107">
        <v>5</v>
      </c>
      <c r="J6" s="107">
        <v>1</v>
      </c>
      <c r="K6" s="107">
        <v>1</v>
      </c>
      <c r="L6" s="108">
        <v>2</v>
      </c>
      <c r="M6" s="2"/>
      <c r="N6" s="120" t="s">
        <v>2</v>
      </c>
      <c r="O6" s="121" t="s">
        <v>344</v>
      </c>
      <c r="P6" s="36"/>
      <c r="Q6" s="37"/>
      <c r="R6" s="37"/>
      <c r="S6" s="37"/>
      <c r="T6" s="37"/>
      <c r="U6" s="37"/>
      <c r="V6" s="37"/>
      <c r="W6" s="37"/>
      <c r="X6" s="37"/>
      <c r="Y6" s="38"/>
    </row>
    <row r="7" spans="1:25">
      <c r="B7" s="104" t="s">
        <v>118</v>
      </c>
      <c r="C7" s="110">
        <v>11</v>
      </c>
      <c r="D7" s="110">
        <v>12</v>
      </c>
      <c r="E7" s="108">
        <v>8</v>
      </c>
      <c r="F7" s="107">
        <v>1</v>
      </c>
      <c r="G7" s="91"/>
      <c r="H7" s="91"/>
      <c r="I7" s="91"/>
      <c r="J7" s="91"/>
      <c r="K7" s="91"/>
      <c r="L7" s="92"/>
      <c r="M7" s="2"/>
      <c r="Y7" s="2"/>
    </row>
    <row r="8" spans="1:25"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11"/>
      <c r="X8" s="39"/>
      <c r="Y8" s="40"/>
    </row>
    <row r="9" spans="1:25">
      <c r="B9" s="90" t="s">
        <v>35</v>
      </c>
      <c r="C9" s="9"/>
      <c r="D9" s="52" t="s">
        <v>268</v>
      </c>
      <c r="E9" s="53"/>
      <c r="F9" s="53"/>
      <c r="G9" s="84" t="s">
        <v>269</v>
      </c>
      <c r="H9" s="85"/>
      <c r="I9" s="86"/>
      <c r="J9" s="54" t="s">
        <v>220</v>
      </c>
      <c r="K9" s="55"/>
      <c r="L9" s="56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565</v>
      </c>
      <c r="X9" s="96" t="s">
        <v>31</v>
      </c>
      <c r="Y9" s="43"/>
    </row>
    <row r="10" spans="1:25">
      <c r="B10" s="122"/>
      <c r="C10" s="2"/>
      <c r="D10" s="2"/>
      <c r="E10" s="2"/>
      <c r="F10" s="13"/>
      <c r="G10" s="13"/>
      <c r="H10" s="13"/>
      <c r="I10" s="2"/>
      <c r="J10" s="2"/>
      <c r="K10" s="2"/>
      <c r="L10" s="2"/>
      <c r="M10" s="2"/>
      <c r="N10" s="123" t="s">
        <v>585</v>
      </c>
      <c r="O10" s="124">
        <v>38035</v>
      </c>
      <c r="P10" s="4" t="s">
        <v>346</v>
      </c>
      <c r="Q10" s="13">
        <v>4</v>
      </c>
      <c r="R10" s="13">
        <v>0</v>
      </c>
      <c r="S10" s="13">
        <v>1</v>
      </c>
      <c r="T10" s="13">
        <v>3</v>
      </c>
      <c r="U10" s="13">
        <v>6</v>
      </c>
      <c r="V10" s="46">
        <v>0.46200000000000002</v>
      </c>
      <c r="W10" s="47" t="s">
        <v>632</v>
      </c>
      <c r="X10" s="47" t="s">
        <v>341</v>
      </c>
      <c r="Y10" s="48"/>
    </row>
    <row r="11" spans="1:25">
      <c r="B11" s="122" t="s">
        <v>612</v>
      </c>
      <c r="C11" s="2"/>
      <c r="D11" s="2"/>
      <c r="E11" s="2"/>
      <c r="F11" s="13"/>
      <c r="G11" s="13"/>
      <c r="H11" s="13"/>
      <c r="I11" s="2"/>
      <c r="J11" s="2"/>
      <c r="K11" s="2"/>
      <c r="L11" s="2"/>
      <c r="M11" s="2"/>
      <c r="N11" s="123" t="s">
        <v>255</v>
      </c>
      <c r="O11" s="124">
        <v>37718</v>
      </c>
      <c r="P11" s="4" t="s">
        <v>259</v>
      </c>
      <c r="Q11" s="13">
        <v>48</v>
      </c>
      <c r="R11" s="13">
        <v>1</v>
      </c>
      <c r="S11" s="13">
        <v>35</v>
      </c>
      <c r="T11" s="13">
        <v>17</v>
      </c>
      <c r="U11" s="13">
        <v>154</v>
      </c>
      <c r="V11" s="46">
        <v>0.51500000000000001</v>
      </c>
      <c r="W11" s="47" t="s">
        <v>634</v>
      </c>
      <c r="X11" s="47" t="s">
        <v>52</v>
      </c>
      <c r="Y11" s="48"/>
    </row>
    <row r="12" spans="1:25">
      <c r="B12" s="122"/>
      <c r="C12" s="2"/>
      <c r="D12" s="2"/>
      <c r="E12" s="2"/>
      <c r="F12" s="13"/>
      <c r="G12" s="13"/>
      <c r="H12" s="13"/>
      <c r="I12" s="2"/>
      <c r="J12" s="2"/>
      <c r="K12" s="2"/>
      <c r="L12" s="2"/>
      <c r="M12" s="2"/>
      <c r="N12" s="123" t="s">
        <v>197</v>
      </c>
      <c r="O12" s="124">
        <v>37995</v>
      </c>
      <c r="P12" s="4" t="s">
        <v>26</v>
      </c>
      <c r="Q12" s="13">
        <v>54</v>
      </c>
      <c r="R12" s="13">
        <v>0</v>
      </c>
      <c r="S12" s="13">
        <v>12</v>
      </c>
      <c r="T12" s="13">
        <v>9</v>
      </c>
      <c r="U12" s="13">
        <v>88</v>
      </c>
      <c r="V12" s="46">
        <v>0.497</v>
      </c>
      <c r="W12" s="47" t="s">
        <v>635</v>
      </c>
      <c r="X12" s="47" t="s">
        <v>206</v>
      </c>
      <c r="Y12" s="48"/>
    </row>
    <row r="13" spans="1:25">
      <c r="B13" s="122"/>
      <c r="C13" s="2"/>
      <c r="D13" s="2"/>
      <c r="E13" s="2"/>
      <c r="F13" s="13"/>
      <c r="G13" s="13"/>
      <c r="H13" s="13"/>
      <c r="I13" s="2"/>
      <c r="J13" s="2"/>
      <c r="K13" s="2"/>
      <c r="L13" s="2"/>
      <c r="M13" s="2"/>
      <c r="N13" s="123" t="s">
        <v>586</v>
      </c>
      <c r="O13" s="124">
        <v>36558</v>
      </c>
      <c r="P13" s="4" t="s">
        <v>346</v>
      </c>
      <c r="Q13" s="13">
        <v>47</v>
      </c>
      <c r="R13" s="13">
        <v>4</v>
      </c>
      <c r="S13" s="13">
        <v>36</v>
      </c>
      <c r="T13" s="13">
        <v>12</v>
      </c>
      <c r="U13" s="13">
        <v>155</v>
      </c>
      <c r="V13" s="46">
        <v>0.51300000000000001</v>
      </c>
      <c r="W13" s="47" t="s">
        <v>632</v>
      </c>
      <c r="X13" s="47" t="s">
        <v>341</v>
      </c>
      <c r="Y13" s="48"/>
    </row>
    <row r="14" spans="1:25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9" t="s">
        <v>345</v>
      </c>
      <c r="O14" s="50">
        <v>39390</v>
      </c>
      <c r="P14" s="4" t="s">
        <v>346</v>
      </c>
      <c r="Q14" s="13"/>
      <c r="R14" s="13"/>
      <c r="S14" s="13"/>
      <c r="T14" s="13"/>
      <c r="U14" s="13"/>
      <c r="V14" s="46"/>
      <c r="W14" s="47" t="s">
        <v>632</v>
      </c>
      <c r="X14" s="47" t="s">
        <v>341</v>
      </c>
      <c r="Y14" s="48"/>
    </row>
    <row r="15" spans="1:25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9" t="s">
        <v>750</v>
      </c>
      <c r="O15" s="50">
        <v>36287</v>
      </c>
      <c r="P15" s="4" t="s">
        <v>12</v>
      </c>
      <c r="Q15" s="13">
        <v>54</v>
      </c>
      <c r="R15" s="13">
        <v>5</v>
      </c>
      <c r="S15" s="13">
        <v>23</v>
      </c>
      <c r="T15" s="13">
        <v>53</v>
      </c>
      <c r="U15" s="13">
        <v>227</v>
      </c>
      <c r="V15" s="46">
        <f>PRODUCT(227/482)</f>
        <v>0.47095435684647302</v>
      </c>
      <c r="W15" s="47" t="s">
        <v>622</v>
      </c>
      <c r="X15" s="47" t="s">
        <v>66</v>
      </c>
      <c r="Y15" s="48"/>
    </row>
    <row r="16" spans="1:25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9" t="s">
        <v>198</v>
      </c>
      <c r="O16" s="50">
        <v>38820</v>
      </c>
      <c r="P16" s="4" t="s">
        <v>72</v>
      </c>
      <c r="Q16" s="13">
        <v>29</v>
      </c>
      <c r="R16" s="13">
        <v>2</v>
      </c>
      <c r="S16" s="13">
        <v>5</v>
      </c>
      <c r="T16" s="13">
        <v>23</v>
      </c>
      <c r="U16" s="13">
        <v>102</v>
      </c>
      <c r="V16" s="46">
        <v>0.70799999999999996</v>
      </c>
      <c r="W16" s="47" t="s">
        <v>636</v>
      </c>
      <c r="X16" s="47" t="s">
        <v>208</v>
      </c>
      <c r="Y16" s="48"/>
    </row>
    <row r="17" spans="1:2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9" t="s">
        <v>347</v>
      </c>
      <c r="O17" s="50">
        <v>38079</v>
      </c>
      <c r="P17" s="4" t="s">
        <v>348</v>
      </c>
      <c r="Q17" s="13">
        <v>22</v>
      </c>
      <c r="R17" s="13">
        <v>0</v>
      </c>
      <c r="S17" s="13">
        <v>4</v>
      </c>
      <c r="T17" s="13">
        <v>13</v>
      </c>
      <c r="U17" s="13">
        <v>49</v>
      </c>
      <c r="V17" s="46">
        <v>0.51</v>
      </c>
      <c r="W17" s="47" t="s">
        <v>632</v>
      </c>
      <c r="X17" s="47" t="s">
        <v>349</v>
      </c>
      <c r="Y17" s="48"/>
    </row>
    <row r="18" spans="1:2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9" t="s">
        <v>633</v>
      </c>
      <c r="O18" s="50">
        <v>39039</v>
      </c>
      <c r="P18" s="4" t="s">
        <v>346</v>
      </c>
      <c r="Q18" s="13"/>
      <c r="R18" s="13"/>
      <c r="S18" s="13"/>
      <c r="T18" s="13"/>
      <c r="U18" s="13"/>
      <c r="V18" s="46"/>
      <c r="W18" s="47" t="s">
        <v>632</v>
      </c>
      <c r="X18" s="47" t="s">
        <v>341</v>
      </c>
      <c r="Y18" s="48"/>
    </row>
    <row r="19" spans="1:2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9" t="s">
        <v>587</v>
      </c>
      <c r="O19" s="50">
        <v>37543</v>
      </c>
      <c r="P19" s="4" t="s">
        <v>346</v>
      </c>
      <c r="Q19" s="13">
        <v>16</v>
      </c>
      <c r="R19" s="13">
        <v>0</v>
      </c>
      <c r="S19" s="13">
        <v>8</v>
      </c>
      <c r="T19" s="13">
        <v>1</v>
      </c>
      <c r="U19" s="13">
        <v>20</v>
      </c>
      <c r="V19" s="46">
        <v>0.57099999999999995</v>
      </c>
      <c r="W19" s="47" t="s">
        <v>632</v>
      </c>
      <c r="X19" s="47" t="s">
        <v>341</v>
      </c>
      <c r="Y19" s="48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9" t="s">
        <v>588</v>
      </c>
      <c r="O20" s="50">
        <v>39858</v>
      </c>
      <c r="P20" s="4" t="s">
        <v>346</v>
      </c>
      <c r="Q20" s="13"/>
      <c r="R20" s="13"/>
      <c r="S20" s="13"/>
      <c r="T20" s="13"/>
      <c r="U20" s="13"/>
      <c r="V20" s="46"/>
      <c r="W20" s="47" t="s">
        <v>637</v>
      </c>
      <c r="X20" s="47" t="s">
        <v>341</v>
      </c>
      <c r="Y20" s="48"/>
    </row>
    <row r="21" spans="1:25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9" t="s">
        <v>350</v>
      </c>
      <c r="O21" s="124">
        <v>38842</v>
      </c>
      <c r="P21" s="4" t="s">
        <v>348</v>
      </c>
      <c r="Q21" s="13"/>
      <c r="R21" s="13"/>
      <c r="S21" s="13"/>
      <c r="T21" s="13"/>
      <c r="U21" s="13"/>
      <c r="V21" s="46"/>
      <c r="W21" s="47" t="s">
        <v>632</v>
      </c>
      <c r="X21" s="47" t="s">
        <v>341</v>
      </c>
      <c r="Y21" s="48"/>
    </row>
    <row r="22" spans="1:25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9" t="s">
        <v>590</v>
      </c>
      <c r="O22" s="124">
        <v>37347</v>
      </c>
      <c r="P22" s="4" t="s">
        <v>346</v>
      </c>
      <c r="Q22" s="13">
        <v>25</v>
      </c>
      <c r="R22" s="13">
        <v>3</v>
      </c>
      <c r="S22" s="13">
        <v>37</v>
      </c>
      <c r="T22" s="13">
        <v>8</v>
      </c>
      <c r="U22" s="13">
        <v>63</v>
      </c>
      <c r="V22" s="46">
        <v>0.54800000000000004</v>
      </c>
      <c r="W22" s="47" t="s">
        <v>632</v>
      </c>
      <c r="X22" s="47" t="s">
        <v>341</v>
      </c>
      <c r="Y22" s="48"/>
    </row>
    <row r="23" spans="1:2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9" t="s">
        <v>591</v>
      </c>
      <c r="O23" s="124">
        <v>36345</v>
      </c>
      <c r="P23" s="4" t="s">
        <v>604</v>
      </c>
      <c r="Q23" s="13">
        <v>35</v>
      </c>
      <c r="R23" s="13">
        <v>3</v>
      </c>
      <c r="S23" s="13">
        <v>4</v>
      </c>
      <c r="T23" s="13">
        <v>50</v>
      </c>
      <c r="U23" s="13">
        <v>121</v>
      </c>
      <c r="V23" s="46">
        <v>0.52200000000000002</v>
      </c>
      <c r="W23" s="47" t="s">
        <v>632</v>
      </c>
      <c r="X23" s="47" t="s">
        <v>341</v>
      </c>
      <c r="Y23" s="48"/>
    </row>
    <row r="24" spans="1:25">
      <c r="A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61" t="s">
        <v>589</v>
      </c>
      <c r="O24" s="62">
        <v>38161</v>
      </c>
      <c r="P24" s="63" t="s">
        <v>346</v>
      </c>
      <c r="Q24" s="64">
        <v>22</v>
      </c>
      <c r="R24" s="64">
        <v>5</v>
      </c>
      <c r="S24" s="64">
        <v>31</v>
      </c>
      <c r="T24" s="64">
        <v>12</v>
      </c>
      <c r="U24" s="64">
        <v>94</v>
      </c>
      <c r="V24" s="65">
        <v>0.56999999999999995</v>
      </c>
      <c r="W24" s="66" t="s">
        <v>632</v>
      </c>
      <c r="X24" s="66" t="s">
        <v>341</v>
      </c>
      <c r="Y24" s="67"/>
    </row>
    <row r="25" spans="1:25">
      <c r="A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O25" s="2"/>
      <c r="P25" s="2"/>
      <c r="Q25" s="2"/>
      <c r="R25" s="2"/>
      <c r="S25" s="2"/>
      <c r="T25" s="2"/>
      <c r="U25" s="2"/>
      <c r="V25" s="65"/>
      <c r="W25" s="2"/>
      <c r="X25" s="2"/>
      <c r="Y25" s="2"/>
    </row>
    <row r="26" spans="1:25">
      <c r="A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2" t="s">
        <v>221</v>
      </c>
      <c r="O26" s="11"/>
      <c r="P26" s="31"/>
      <c r="Q26" s="11"/>
      <c r="R26" s="11"/>
      <c r="S26" s="11"/>
      <c r="T26" s="11"/>
      <c r="U26" s="11"/>
      <c r="V26" s="11"/>
      <c r="W26" s="11"/>
      <c r="X26" s="70"/>
      <c r="Y26" s="40"/>
    </row>
    <row r="27" spans="1:2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4" t="s">
        <v>5</v>
      </c>
      <c r="O27" s="41" t="s">
        <v>0</v>
      </c>
      <c r="P27" s="3" t="s">
        <v>3</v>
      </c>
      <c r="Q27" s="6" t="s">
        <v>13</v>
      </c>
      <c r="R27" s="6" t="s">
        <v>14</v>
      </c>
      <c r="S27" s="6" t="s">
        <v>15</v>
      </c>
      <c r="T27" s="6" t="s">
        <v>16</v>
      </c>
      <c r="U27" s="6" t="s">
        <v>17</v>
      </c>
      <c r="V27" s="42" t="s">
        <v>18</v>
      </c>
      <c r="W27" s="71" t="s">
        <v>222</v>
      </c>
      <c r="X27" s="19" t="s">
        <v>223</v>
      </c>
      <c r="Y27" s="33"/>
    </row>
    <row r="28" spans="1:25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9" t="s">
        <v>750</v>
      </c>
      <c r="O28" s="50">
        <v>36287</v>
      </c>
      <c r="P28" s="4" t="s">
        <v>12</v>
      </c>
      <c r="Q28" s="13">
        <v>72</v>
      </c>
      <c r="R28" s="13">
        <v>4</v>
      </c>
      <c r="S28" s="13">
        <v>18</v>
      </c>
      <c r="T28" s="13">
        <v>22</v>
      </c>
      <c r="U28" s="13">
        <v>157</v>
      </c>
      <c r="V28" s="46">
        <v>0.44900000000000001</v>
      </c>
      <c r="W28" s="72">
        <v>130.69999999999999</v>
      </c>
      <c r="X28" s="156" t="s">
        <v>765</v>
      </c>
      <c r="Y28" s="48"/>
    </row>
    <row r="29" spans="1:25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9" t="s">
        <v>591</v>
      </c>
      <c r="O29" s="124">
        <v>36345</v>
      </c>
      <c r="P29" s="4" t="s">
        <v>604</v>
      </c>
      <c r="Q29" s="13">
        <v>38</v>
      </c>
      <c r="R29" s="13">
        <v>1</v>
      </c>
      <c r="S29" s="13">
        <v>0</v>
      </c>
      <c r="T29" s="13">
        <v>16</v>
      </c>
      <c r="U29" s="13">
        <v>71</v>
      </c>
      <c r="V29" s="46">
        <v>0.39900000000000002</v>
      </c>
      <c r="W29" s="72">
        <v>45.7</v>
      </c>
      <c r="X29" s="156" t="s">
        <v>632</v>
      </c>
      <c r="Y29" s="48"/>
    </row>
    <row r="30" spans="1:25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123" t="s">
        <v>586</v>
      </c>
      <c r="O30" s="124">
        <v>36558</v>
      </c>
      <c r="P30" s="4" t="s">
        <v>346</v>
      </c>
      <c r="Q30" s="13">
        <v>49</v>
      </c>
      <c r="R30" s="13">
        <v>2</v>
      </c>
      <c r="S30" s="13">
        <v>10</v>
      </c>
      <c r="T30" s="13">
        <v>6</v>
      </c>
      <c r="U30" s="13">
        <v>70</v>
      </c>
      <c r="V30" s="46">
        <v>0.38500000000000001</v>
      </c>
      <c r="W30" s="72">
        <v>39.299999999999997</v>
      </c>
      <c r="X30" s="156" t="s">
        <v>632</v>
      </c>
      <c r="Y30" s="48"/>
    </row>
    <row r="31" spans="1:25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9" t="s">
        <v>589</v>
      </c>
      <c r="O31" s="50">
        <v>38161</v>
      </c>
      <c r="P31" s="4" t="s">
        <v>346</v>
      </c>
      <c r="Q31" s="13">
        <v>15</v>
      </c>
      <c r="R31" s="13">
        <v>1</v>
      </c>
      <c r="S31" s="13">
        <v>8</v>
      </c>
      <c r="T31" s="13">
        <v>4</v>
      </c>
      <c r="U31" s="13">
        <v>33</v>
      </c>
      <c r="V31" s="46">
        <v>0.53400000000000003</v>
      </c>
      <c r="W31" s="72">
        <v>10.7</v>
      </c>
      <c r="X31" s="156" t="s">
        <v>632</v>
      </c>
      <c r="Y31" s="48"/>
    </row>
    <row r="32" spans="1:25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9" t="s">
        <v>256</v>
      </c>
      <c r="O32" s="50">
        <v>37947</v>
      </c>
      <c r="P32" s="4" t="s">
        <v>108</v>
      </c>
      <c r="Q32" s="13">
        <v>9</v>
      </c>
      <c r="R32" s="13">
        <v>0</v>
      </c>
      <c r="S32" s="13">
        <v>2</v>
      </c>
      <c r="T32" s="13">
        <v>0</v>
      </c>
      <c r="U32" s="13">
        <v>10</v>
      </c>
      <c r="V32" s="46">
        <v>0.45500000000000002</v>
      </c>
      <c r="W32" s="72">
        <v>6.3</v>
      </c>
      <c r="X32" s="156" t="s">
        <v>252</v>
      </c>
      <c r="Y32" s="48"/>
    </row>
    <row r="33" spans="3:2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123" t="s">
        <v>255</v>
      </c>
      <c r="O33" s="124">
        <v>37718</v>
      </c>
      <c r="P33" s="4" t="s">
        <v>259</v>
      </c>
      <c r="Q33" s="13">
        <v>5</v>
      </c>
      <c r="R33" s="13">
        <v>0</v>
      </c>
      <c r="S33" s="13">
        <v>0</v>
      </c>
      <c r="T33" s="13">
        <v>2</v>
      </c>
      <c r="U33" s="13">
        <v>6</v>
      </c>
      <c r="V33" s="46">
        <v>1</v>
      </c>
      <c r="W33" s="72">
        <v>5.7</v>
      </c>
      <c r="X33" s="156" t="s">
        <v>252</v>
      </c>
      <c r="Y33" s="48"/>
    </row>
    <row r="34" spans="3:2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4"/>
      <c r="O34" s="11"/>
      <c r="P34" s="24"/>
      <c r="Q34" s="11"/>
      <c r="R34" s="11"/>
      <c r="S34" s="11"/>
      <c r="T34" s="11"/>
      <c r="U34" s="11"/>
      <c r="V34" s="11"/>
      <c r="W34" s="11"/>
      <c r="X34" s="24"/>
      <c r="Y34" s="24"/>
    </row>
    <row r="35" spans="3:2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P35" s="2"/>
      <c r="X35" s="2"/>
      <c r="Y35" s="2"/>
    </row>
    <row r="36" spans="3:2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P36" s="2"/>
      <c r="X36" s="2"/>
      <c r="Y36" s="2"/>
    </row>
    <row r="37" spans="3:2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P37" s="2"/>
      <c r="X37" s="2"/>
      <c r="Y37" s="2"/>
    </row>
    <row r="38" spans="3:2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P38" s="2"/>
      <c r="X38" s="2"/>
      <c r="Y38" s="2"/>
    </row>
    <row r="39" spans="3: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2"/>
      <c r="X39" s="2"/>
      <c r="Y39" s="2"/>
    </row>
    <row r="40" spans="3: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"/>
      <c r="X40" s="2"/>
      <c r="Y40" s="2"/>
    </row>
    <row r="41" spans="3: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P41" s="2"/>
      <c r="X41" s="2"/>
      <c r="Y41" s="2"/>
    </row>
    <row r="42" spans="3: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X42" s="2"/>
      <c r="Y42" s="2"/>
    </row>
    <row r="43" spans="3: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X43" s="2"/>
      <c r="Y43" s="2"/>
    </row>
    <row r="44" spans="3: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P44" s="2"/>
      <c r="X44" s="2"/>
      <c r="Y44" s="2"/>
    </row>
    <row r="45" spans="3: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P45" s="2"/>
      <c r="X45" s="2"/>
      <c r="Y45" s="2"/>
    </row>
    <row r="46" spans="3: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P46" s="2"/>
      <c r="X46" s="2"/>
      <c r="Y46" s="2"/>
    </row>
    <row r="47" spans="3: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P47" s="2"/>
      <c r="X47" s="2"/>
      <c r="Y47" s="2"/>
    </row>
    <row r="48" spans="3: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P48" s="2"/>
      <c r="X48" s="2"/>
      <c r="Y48" s="2"/>
    </row>
    <row r="49" spans="3: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P49" s="2"/>
      <c r="X49" s="2"/>
      <c r="Y49" s="2"/>
    </row>
    <row r="50" spans="3: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P50" s="2"/>
      <c r="X50" s="2"/>
      <c r="Y50" s="2"/>
    </row>
    <row r="51" spans="3: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P51" s="2"/>
      <c r="X51" s="2"/>
      <c r="Y51" s="2"/>
    </row>
    <row r="52" spans="3:25">
      <c r="P52" s="2"/>
      <c r="X52" s="2"/>
      <c r="Y52" s="2"/>
    </row>
    <row r="53" spans="3:25">
      <c r="P53" s="2"/>
      <c r="X53" s="2"/>
      <c r="Y53" s="2"/>
    </row>
    <row r="60" spans="3:25">
      <c r="P60" s="2"/>
      <c r="X60" s="2"/>
      <c r="Y60" s="2"/>
    </row>
    <row r="61" spans="3:25">
      <c r="P61" s="2"/>
      <c r="X61" s="2"/>
      <c r="Y61" s="2"/>
    </row>
    <row r="62" spans="3:25">
      <c r="P62" s="2"/>
      <c r="X62" s="2"/>
      <c r="Y62" s="2"/>
    </row>
    <row r="63" spans="3:25">
      <c r="P63" s="2"/>
      <c r="X63" s="2"/>
      <c r="Y63" s="2"/>
    </row>
    <row r="64" spans="3:25">
      <c r="P64" s="2"/>
      <c r="X64" s="2"/>
      <c r="Y64" s="2"/>
    </row>
  </sheetData>
  <sortState xmlns:xlrd2="http://schemas.microsoft.com/office/spreadsheetml/2017/richdata2" ref="N28:Y33">
    <sortCondition descending="1" ref="W28:W33"/>
  </sortState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Z50"/>
  <sheetViews>
    <sheetView zoomScale="93" zoomScaleNormal="93" workbookViewId="0"/>
  </sheetViews>
  <sheetFormatPr defaultColWidth="9.140625"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0.5703125" style="2" customWidth="1"/>
    <col min="15" max="15" width="13.140625" style="6" customWidth="1"/>
    <col min="16" max="16" width="12.85546875" style="3" bestFit="1" customWidth="1"/>
    <col min="17" max="20" width="6.7109375" style="6" customWidth="1"/>
    <col min="21" max="21" width="8.28515625" style="6" customWidth="1"/>
    <col min="22" max="22" width="9.85546875" style="6" customWidth="1"/>
    <col min="23" max="23" width="14.7109375" style="6" customWidth="1"/>
    <col min="24" max="24" width="11" style="6" customWidth="1"/>
    <col min="25" max="25" width="29.85546875" style="22" customWidth="1"/>
    <col min="26" max="26" width="9.140625" style="1"/>
    <col min="27" max="16384" width="9.140625" style="26"/>
  </cols>
  <sheetData>
    <row r="1" spans="1:26" ht="18.75">
      <c r="A1" s="21"/>
      <c r="B1" s="28" t="s">
        <v>51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"/>
      <c r="N1" s="19"/>
      <c r="Q1" s="13"/>
      <c r="R1" s="13"/>
      <c r="S1" s="13"/>
      <c r="T1" s="13"/>
      <c r="U1" s="13"/>
      <c r="V1" s="13"/>
      <c r="W1" s="13"/>
      <c r="X1" s="13"/>
      <c r="Y1" s="21"/>
    </row>
    <row r="2" spans="1:26" s="8" customFormat="1" ht="15.75" customHeight="1">
      <c r="A2" s="4"/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244</v>
      </c>
      <c r="P2" s="31"/>
      <c r="Q2" s="11"/>
      <c r="R2" s="11"/>
      <c r="S2" s="11"/>
      <c r="T2" s="11"/>
      <c r="U2" s="11"/>
      <c r="V2" s="11"/>
      <c r="W2" s="11"/>
      <c r="X2" s="11"/>
      <c r="Y2" s="25"/>
      <c r="Z2" s="1"/>
    </row>
    <row r="3" spans="1:26">
      <c r="B3" s="104" t="s">
        <v>39</v>
      </c>
      <c r="C3" s="109" t="s">
        <v>36</v>
      </c>
      <c r="D3" s="109" t="s">
        <v>36</v>
      </c>
      <c r="E3" s="109" t="s">
        <v>36</v>
      </c>
      <c r="F3" s="109" t="s">
        <v>36</v>
      </c>
      <c r="G3" s="109" t="s">
        <v>36</v>
      </c>
      <c r="H3" s="109" t="s">
        <v>36</v>
      </c>
      <c r="I3" s="109" t="s">
        <v>44</v>
      </c>
      <c r="J3" s="109" t="s">
        <v>46</v>
      </c>
      <c r="K3" s="107">
        <v>5</v>
      </c>
      <c r="L3" s="107">
        <v>4</v>
      </c>
      <c r="M3" s="2"/>
      <c r="N3" s="32" t="s">
        <v>116</v>
      </c>
      <c r="O3" s="5" t="s">
        <v>245</v>
      </c>
      <c r="Y3" s="33"/>
    </row>
    <row r="4" spans="1:26">
      <c r="B4" s="104" t="s">
        <v>40</v>
      </c>
      <c r="C4" s="107">
        <v>3</v>
      </c>
      <c r="D4" s="107">
        <v>3</v>
      </c>
      <c r="E4" s="107">
        <v>4</v>
      </c>
      <c r="F4" s="107">
        <v>3</v>
      </c>
      <c r="G4" s="107">
        <v>1</v>
      </c>
      <c r="H4" s="108">
        <v>5</v>
      </c>
      <c r="I4" s="108">
        <v>5</v>
      </c>
      <c r="J4" s="108">
        <v>3</v>
      </c>
      <c r="K4" s="108">
        <v>3</v>
      </c>
      <c r="L4" s="108">
        <v>2</v>
      </c>
      <c r="M4" s="2"/>
      <c r="N4" s="32" t="s">
        <v>115</v>
      </c>
      <c r="O4" s="5" t="s">
        <v>262</v>
      </c>
      <c r="Y4" s="33"/>
    </row>
    <row r="5" spans="1:26">
      <c r="B5" s="104" t="s">
        <v>41</v>
      </c>
      <c r="C5" s="108">
        <v>1</v>
      </c>
      <c r="D5" s="110">
        <v>8</v>
      </c>
      <c r="E5" s="110">
        <v>6</v>
      </c>
      <c r="F5" s="110">
        <v>2</v>
      </c>
      <c r="G5" s="110">
        <v>8</v>
      </c>
      <c r="H5" s="110">
        <v>9</v>
      </c>
      <c r="I5" s="110">
        <v>7</v>
      </c>
      <c r="J5" s="110">
        <v>5</v>
      </c>
      <c r="K5" s="110">
        <v>7</v>
      </c>
      <c r="L5" s="110">
        <v>12</v>
      </c>
      <c r="M5" s="2"/>
      <c r="N5" s="32" t="s">
        <v>1</v>
      </c>
      <c r="O5" s="21" t="s">
        <v>319</v>
      </c>
      <c r="Y5" s="33"/>
    </row>
    <row r="6" spans="1:26">
      <c r="B6" s="104" t="s">
        <v>42</v>
      </c>
      <c r="C6" s="109" t="s">
        <v>36</v>
      </c>
      <c r="D6" s="106">
        <v>8</v>
      </c>
      <c r="E6" s="106">
        <v>1</v>
      </c>
      <c r="F6" s="107">
        <v>6</v>
      </c>
      <c r="G6" s="111">
        <v>3</v>
      </c>
      <c r="H6" s="107">
        <v>5</v>
      </c>
      <c r="I6" s="107">
        <v>1</v>
      </c>
      <c r="J6" s="108">
        <v>7</v>
      </c>
      <c r="K6" s="108">
        <v>7</v>
      </c>
      <c r="L6" s="108">
        <v>9</v>
      </c>
      <c r="M6" s="2"/>
      <c r="N6" s="34" t="s">
        <v>2</v>
      </c>
      <c r="O6" s="35" t="s">
        <v>246</v>
      </c>
      <c r="P6" s="36"/>
      <c r="Q6" s="37"/>
      <c r="R6" s="37"/>
      <c r="S6" s="37"/>
      <c r="T6" s="37"/>
      <c r="U6" s="37"/>
      <c r="V6" s="37"/>
      <c r="W6" s="37"/>
      <c r="X6" s="37"/>
      <c r="Y6" s="38"/>
    </row>
    <row r="7" spans="1:26">
      <c r="B7" s="104" t="s">
        <v>118</v>
      </c>
      <c r="C7" s="108">
        <v>13</v>
      </c>
      <c r="D7" s="108">
        <v>12</v>
      </c>
      <c r="E7" s="107">
        <v>3</v>
      </c>
      <c r="F7" s="108">
        <v>4</v>
      </c>
      <c r="G7" s="91"/>
      <c r="H7" s="91"/>
      <c r="I7" s="91"/>
      <c r="J7" s="91"/>
      <c r="K7" s="91"/>
      <c r="L7" s="92"/>
      <c r="M7" s="2"/>
      <c r="Y7" s="2"/>
    </row>
    <row r="8" spans="1:26">
      <c r="I8" s="4"/>
      <c r="J8" s="4"/>
      <c r="K8" s="4"/>
      <c r="L8" s="4"/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11"/>
      <c r="X8" s="39"/>
      <c r="Y8" s="40"/>
    </row>
    <row r="9" spans="1:26">
      <c r="B9" s="90" t="s">
        <v>35</v>
      </c>
      <c r="C9" s="9"/>
      <c r="D9" s="52" t="s">
        <v>268</v>
      </c>
      <c r="E9" s="53"/>
      <c r="F9" s="53"/>
      <c r="G9" s="84" t="s">
        <v>269</v>
      </c>
      <c r="H9" s="85"/>
      <c r="I9" s="86"/>
      <c r="J9" s="54" t="s">
        <v>220</v>
      </c>
      <c r="K9" s="55"/>
      <c r="L9" s="56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565</v>
      </c>
      <c r="X9" s="2" t="s">
        <v>31</v>
      </c>
      <c r="Y9" s="43"/>
    </row>
    <row r="10" spans="1:26">
      <c r="B10" s="57"/>
      <c r="C10" s="2"/>
      <c r="D10" s="2"/>
      <c r="E10" s="2"/>
      <c r="F10" s="13"/>
      <c r="G10" s="13"/>
      <c r="H10" s="13"/>
      <c r="I10" s="2"/>
      <c r="J10" s="2"/>
      <c r="K10" s="2"/>
      <c r="L10" s="2"/>
      <c r="M10" s="2"/>
      <c r="N10" s="44" t="s">
        <v>243</v>
      </c>
      <c r="O10" s="45">
        <v>37424</v>
      </c>
      <c r="P10" s="4" t="s">
        <v>50</v>
      </c>
      <c r="Q10" s="13">
        <v>1</v>
      </c>
      <c r="R10" s="13">
        <v>0</v>
      </c>
      <c r="S10" s="13">
        <v>0</v>
      </c>
      <c r="T10" s="13">
        <v>0</v>
      </c>
      <c r="U10" s="13">
        <v>0</v>
      </c>
      <c r="V10" s="46">
        <v>0</v>
      </c>
      <c r="W10" s="47" t="s">
        <v>634</v>
      </c>
      <c r="X10" s="88" t="s">
        <v>51</v>
      </c>
      <c r="Y10" s="48"/>
    </row>
    <row r="11" spans="1:26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49" t="s">
        <v>263</v>
      </c>
      <c r="O11" s="50">
        <v>37355</v>
      </c>
      <c r="P11" s="4" t="s">
        <v>264</v>
      </c>
      <c r="Q11" s="13">
        <v>10</v>
      </c>
      <c r="R11" s="13">
        <v>1</v>
      </c>
      <c r="S11" s="13">
        <v>10</v>
      </c>
      <c r="T11" s="13">
        <v>3</v>
      </c>
      <c r="U11" s="13">
        <v>19</v>
      </c>
      <c r="V11" s="46">
        <f>PRODUCT(19/48)</f>
        <v>0.39583333333333331</v>
      </c>
      <c r="W11" s="47" t="s">
        <v>634</v>
      </c>
      <c r="X11" s="88" t="s">
        <v>265</v>
      </c>
      <c r="Y11" s="48"/>
    </row>
    <row r="12" spans="1:26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59" t="s">
        <v>227</v>
      </c>
      <c r="O12" s="50">
        <v>37181</v>
      </c>
      <c r="P12" s="4" t="s">
        <v>12</v>
      </c>
      <c r="Q12" s="13"/>
      <c r="R12" s="13"/>
      <c r="S12" s="13"/>
      <c r="T12" s="13"/>
      <c r="U12" s="13"/>
      <c r="V12" s="46"/>
      <c r="W12" s="47" t="s">
        <v>763</v>
      </c>
      <c r="X12" s="88" t="s">
        <v>60</v>
      </c>
      <c r="Y12" s="48"/>
    </row>
    <row r="13" spans="1:26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59" t="s">
        <v>755</v>
      </c>
      <c r="O13" s="50">
        <v>37727</v>
      </c>
      <c r="P13" s="4" t="s">
        <v>259</v>
      </c>
      <c r="Q13" s="13">
        <v>22</v>
      </c>
      <c r="R13" s="13">
        <v>1</v>
      </c>
      <c r="S13" s="13">
        <v>16</v>
      </c>
      <c r="T13" s="13">
        <v>9</v>
      </c>
      <c r="U13" s="13">
        <v>51</v>
      </c>
      <c r="V13" s="46">
        <f>PRODUCT(51/114)</f>
        <v>0.44736842105263158</v>
      </c>
      <c r="W13" s="47" t="s">
        <v>623</v>
      </c>
      <c r="X13" s="88" t="s">
        <v>52</v>
      </c>
      <c r="Y13" s="48"/>
    </row>
    <row r="14" spans="1:26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9" t="s">
        <v>189</v>
      </c>
      <c r="O14" s="50">
        <v>34556</v>
      </c>
      <c r="P14" s="4" t="s">
        <v>50</v>
      </c>
      <c r="Q14" s="13">
        <v>59</v>
      </c>
      <c r="R14" s="13">
        <v>1</v>
      </c>
      <c r="S14" s="13">
        <v>10</v>
      </c>
      <c r="T14" s="13">
        <v>74</v>
      </c>
      <c r="U14" s="13">
        <v>258</v>
      </c>
      <c r="V14" s="46">
        <f>PRODUCT(258/375)</f>
        <v>0.68799999999999994</v>
      </c>
      <c r="W14" s="47" t="s">
        <v>634</v>
      </c>
      <c r="X14" s="88" t="s">
        <v>69</v>
      </c>
      <c r="Y14" s="48"/>
    </row>
    <row r="15" spans="1:26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9" t="s">
        <v>754</v>
      </c>
      <c r="O15" s="50">
        <v>37650</v>
      </c>
      <c r="P15" s="4" t="s">
        <v>12</v>
      </c>
      <c r="Q15" s="13">
        <v>19</v>
      </c>
      <c r="R15" s="13">
        <v>1</v>
      </c>
      <c r="S15" s="13">
        <v>14</v>
      </c>
      <c r="T15" s="13">
        <v>3</v>
      </c>
      <c r="U15" s="13">
        <v>38</v>
      </c>
      <c r="V15" s="46">
        <f>PRODUCT(38/97)</f>
        <v>0.39175257731958762</v>
      </c>
      <c r="W15" s="47" t="s">
        <v>763</v>
      </c>
      <c r="X15" s="88" t="s">
        <v>66</v>
      </c>
      <c r="Y15" s="48"/>
    </row>
    <row r="16" spans="1:26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59" t="s">
        <v>257</v>
      </c>
      <c r="O16" s="50" t="s">
        <v>258</v>
      </c>
      <c r="P16" s="4" t="s">
        <v>259</v>
      </c>
      <c r="Q16" s="13">
        <v>45</v>
      </c>
      <c r="R16" s="13">
        <v>4</v>
      </c>
      <c r="S16" s="13">
        <v>80</v>
      </c>
      <c r="T16" s="13">
        <v>25</v>
      </c>
      <c r="U16" s="13">
        <v>166</v>
      </c>
      <c r="V16" s="46">
        <f>PRODUCT(166/290)</f>
        <v>0.57241379310344831</v>
      </c>
      <c r="W16" s="47" t="s">
        <v>634</v>
      </c>
      <c r="X16" s="88" t="s">
        <v>52</v>
      </c>
      <c r="Y16" s="48"/>
    </row>
    <row r="17" spans="1:25">
      <c r="A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9" t="s">
        <v>193</v>
      </c>
      <c r="O17" s="50">
        <v>37341</v>
      </c>
      <c r="P17" s="4" t="s">
        <v>12</v>
      </c>
      <c r="Q17" s="13">
        <v>35</v>
      </c>
      <c r="R17" s="13">
        <v>1</v>
      </c>
      <c r="S17" s="13">
        <v>21</v>
      </c>
      <c r="T17" s="13">
        <v>31</v>
      </c>
      <c r="U17" s="13">
        <v>119</v>
      </c>
      <c r="V17" s="46">
        <f>PRODUCT(119/186)</f>
        <v>0.63978494623655913</v>
      </c>
      <c r="W17" s="47" t="s">
        <v>634</v>
      </c>
      <c r="X17" s="88" t="s">
        <v>51</v>
      </c>
      <c r="Y17" s="48"/>
    </row>
    <row r="18" spans="1:2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59" t="s">
        <v>752</v>
      </c>
      <c r="O18" s="50">
        <v>38162</v>
      </c>
      <c r="P18" s="4" t="s">
        <v>50</v>
      </c>
      <c r="Q18" s="13">
        <v>36</v>
      </c>
      <c r="R18" s="13">
        <v>4</v>
      </c>
      <c r="S18" s="13">
        <v>33</v>
      </c>
      <c r="T18" s="13">
        <v>28</v>
      </c>
      <c r="U18" s="13">
        <v>153</v>
      </c>
      <c r="V18" s="46">
        <f>PRODUCT(153/257)</f>
        <v>0.59533073929961089</v>
      </c>
      <c r="W18" s="47" t="s">
        <v>634</v>
      </c>
      <c r="X18" s="88" t="s">
        <v>51</v>
      </c>
      <c r="Y18" s="48"/>
    </row>
    <row r="19" spans="1:2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59" t="s">
        <v>260</v>
      </c>
      <c r="O19" s="50">
        <v>37246</v>
      </c>
      <c r="P19" s="4" t="s">
        <v>259</v>
      </c>
      <c r="Q19" s="13">
        <v>57</v>
      </c>
      <c r="R19" s="13">
        <v>1</v>
      </c>
      <c r="S19" s="13">
        <v>12</v>
      </c>
      <c r="T19" s="13">
        <v>28</v>
      </c>
      <c r="U19" s="13">
        <v>115</v>
      </c>
      <c r="V19" s="46">
        <f>PRODUCT(115/242)</f>
        <v>0.47520661157024796</v>
      </c>
      <c r="W19" s="47" t="s">
        <v>634</v>
      </c>
      <c r="X19" s="88" t="s">
        <v>52</v>
      </c>
      <c r="Y19" s="48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59" t="s">
        <v>253</v>
      </c>
      <c r="O20" s="50">
        <v>39436</v>
      </c>
      <c r="P20" s="4" t="s">
        <v>254</v>
      </c>
      <c r="Q20" s="13">
        <v>25</v>
      </c>
      <c r="R20" s="13">
        <v>3</v>
      </c>
      <c r="S20" s="13">
        <v>0</v>
      </c>
      <c r="T20" s="13">
        <v>51</v>
      </c>
      <c r="U20" s="13">
        <v>112</v>
      </c>
      <c r="V20" s="46">
        <f>PRODUCT(112/156)</f>
        <v>0.71794871794871795</v>
      </c>
      <c r="W20" s="47" t="s">
        <v>634</v>
      </c>
      <c r="X20" s="88" t="s">
        <v>69</v>
      </c>
      <c r="Y20" s="48"/>
    </row>
    <row r="21" spans="1:25">
      <c r="A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59" t="s">
        <v>753</v>
      </c>
      <c r="O21" s="50">
        <v>35609</v>
      </c>
      <c r="P21" s="4" t="s">
        <v>761</v>
      </c>
      <c r="Q21" s="13">
        <v>44</v>
      </c>
      <c r="R21" s="13">
        <v>5</v>
      </c>
      <c r="S21" s="13">
        <v>16</v>
      </c>
      <c r="T21" s="13">
        <v>66</v>
      </c>
      <c r="U21" s="13">
        <v>197</v>
      </c>
      <c r="V21" s="46">
        <f>PRODUCT(197/319)</f>
        <v>0.61755485893416928</v>
      </c>
      <c r="W21" s="47" t="s">
        <v>709</v>
      </c>
      <c r="X21" s="88" t="s">
        <v>760</v>
      </c>
      <c r="Y21" s="48"/>
    </row>
    <row r="22" spans="1:25">
      <c r="A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59" t="s">
        <v>266</v>
      </c>
      <c r="O22" s="50">
        <v>36002</v>
      </c>
      <c r="P22" s="4" t="s">
        <v>108</v>
      </c>
      <c r="Q22" s="13">
        <v>57</v>
      </c>
      <c r="R22" s="13">
        <v>1</v>
      </c>
      <c r="S22" s="13">
        <v>16</v>
      </c>
      <c r="T22" s="13">
        <v>11</v>
      </c>
      <c r="U22" s="13">
        <v>129</v>
      </c>
      <c r="V22" s="46">
        <f>PRODUCT(129/270)</f>
        <v>0.4777777777777778</v>
      </c>
      <c r="W22" s="47" t="s">
        <v>763</v>
      </c>
      <c r="X22" s="88" t="s">
        <v>60</v>
      </c>
      <c r="Y22" s="48"/>
    </row>
    <row r="23" spans="1:25">
      <c r="A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9" t="s">
        <v>756</v>
      </c>
      <c r="O23" s="50">
        <v>38349</v>
      </c>
      <c r="P23" s="4" t="s">
        <v>108</v>
      </c>
      <c r="Q23" s="13">
        <v>1</v>
      </c>
      <c r="R23" s="13">
        <v>0</v>
      </c>
      <c r="S23" s="13">
        <v>0</v>
      </c>
      <c r="T23" s="13">
        <v>0</v>
      </c>
      <c r="U23" s="13">
        <v>0</v>
      </c>
      <c r="V23" s="46">
        <v>0</v>
      </c>
      <c r="W23" s="47" t="s">
        <v>252</v>
      </c>
      <c r="X23" s="88" t="s">
        <v>60</v>
      </c>
      <c r="Y23" s="48"/>
    </row>
    <row r="24" spans="1:25">
      <c r="A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9" t="s">
        <v>190</v>
      </c>
      <c r="O24" s="50">
        <v>37155</v>
      </c>
      <c r="P24" s="4" t="s">
        <v>12</v>
      </c>
      <c r="Q24" s="13">
        <v>49</v>
      </c>
      <c r="R24" s="13">
        <v>2</v>
      </c>
      <c r="S24" s="13">
        <v>6</v>
      </c>
      <c r="T24" s="13">
        <v>26</v>
      </c>
      <c r="U24" s="13">
        <v>121</v>
      </c>
      <c r="V24" s="46">
        <v>0.51500000000000001</v>
      </c>
      <c r="W24" s="47" t="s">
        <v>764</v>
      </c>
      <c r="X24" s="88" t="s">
        <v>66</v>
      </c>
      <c r="Y24" s="48"/>
    </row>
    <row r="25" spans="1:25">
      <c r="A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61" t="s">
        <v>261</v>
      </c>
      <c r="O25" s="62">
        <v>36462</v>
      </c>
      <c r="P25" s="63" t="s">
        <v>129</v>
      </c>
      <c r="Q25" s="64">
        <v>22</v>
      </c>
      <c r="R25" s="64">
        <v>1</v>
      </c>
      <c r="S25" s="64">
        <v>38</v>
      </c>
      <c r="T25" s="64">
        <v>3</v>
      </c>
      <c r="U25" s="64">
        <v>67</v>
      </c>
      <c r="V25" s="65">
        <f>PRODUCT(67/123)</f>
        <v>0.54471544715447151</v>
      </c>
      <c r="W25" s="66" t="s">
        <v>634</v>
      </c>
      <c r="X25" s="89" t="s">
        <v>57</v>
      </c>
      <c r="Y25" s="67"/>
    </row>
    <row r="26" spans="1:25"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4"/>
      <c r="O26" s="11"/>
      <c r="P26" s="31"/>
      <c r="Q26" s="60"/>
      <c r="R26" s="60"/>
      <c r="S26" s="60"/>
      <c r="T26" s="60"/>
      <c r="U26" s="60"/>
      <c r="V26" s="95"/>
      <c r="W26" s="95"/>
      <c r="X26" s="69"/>
      <c r="Y26" s="30"/>
    </row>
    <row r="27" spans="1:2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2" t="s">
        <v>221</v>
      </c>
      <c r="O27" s="11"/>
      <c r="P27" s="31"/>
      <c r="Q27" s="11"/>
      <c r="R27" s="11"/>
      <c r="S27" s="11"/>
      <c r="T27" s="11"/>
      <c r="U27" s="11"/>
      <c r="V27" s="11"/>
      <c r="W27" s="11"/>
      <c r="X27" s="70"/>
      <c r="Y27" s="40"/>
    </row>
    <row r="28" spans="1:25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14" t="s">
        <v>5</v>
      </c>
      <c r="O28" s="41" t="s">
        <v>0</v>
      </c>
      <c r="P28" s="3" t="s">
        <v>3</v>
      </c>
      <c r="Q28" s="6" t="s">
        <v>13</v>
      </c>
      <c r="R28" s="6" t="s">
        <v>14</v>
      </c>
      <c r="S28" s="6" t="s">
        <v>15</v>
      </c>
      <c r="T28" s="6" t="s">
        <v>16</v>
      </c>
      <c r="U28" s="6" t="s">
        <v>17</v>
      </c>
      <c r="V28" s="42" t="s">
        <v>18</v>
      </c>
      <c r="W28" s="71" t="s">
        <v>222</v>
      </c>
      <c r="X28" s="19" t="s">
        <v>223</v>
      </c>
      <c r="Y28" s="33"/>
    </row>
    <row r="29" spans="1:25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4" t="s">
        <v>753</v>
      </c>
      <c r="O29" s="45">
        <v>35609</v>
      </c>
      <c r="P29" s="4" t="s">
        <v>761</v>
      </c>
      <c r="Q29" s="13">
        <v>131</v>
      </c>
      <c r="R29" s="13">
        <v>6</v>
      </c>
      <c r="S29" s="13">
        <v>11</v>
      </c>
      <c r="T29" s="13">
        <v>78</v>
      </c>
      <c r="U29" s="13">
        <v>384</v>
      </c>
      <c r="V29" s="46">
        <v>0.51800000000000002</v>
      </c>
      <c r="W29" s="72">
        <v>218.7</v>
      </c>
      <c r="X29" s="156" t="s">
        <v>762</v>
      </c>
      <c r="Y29" s="48"/>
    </row>
    <row r="30" spans="1:25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59" t="s">
        <v>752</v>
      </c>
      <c r="O30" s="50">
        <v>38162</v>
      </c>
      <c r="P30" s="4" t="s">
        <v>50</v>
      </c>
      <c r="Q30" s="13">
        <v>58</v>
      </c>
      <c r="R30" s="13">
        <v>2</v>
      </c>
      <c r="S30" s="13">
        <v>40</v>
      </c>
      <c r="T30" s="13">
        <v>9</v>
      </c>
      <c r="U30" s="13">
        <v>103</v>
      </c>
      <c r="V30" s="46">
        <v>0.38600000000000001</v>
      </c>
      <c r="W30" s="72">
        <v>84.7</v>
      </c>
      <c r="X30" s="156" t="s">
        <v>252</v>
      </c>
      <c r="Y30" s="48"/>
    </row>
    <row r="31" spans="1:25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9" t="s">
        <v>261</v>
      </c>
      <c r="O31" s="50">
        <v>36462</v>
      </c>
      <c r="P31" s="4" t="s">
        <v>129</v>
      </c>
      <c r="Q31" s="13">
        <v>91</v>
      </c>
      <c r="R31" s="13">
        <v>5</v>
      </c>
      <c r="S31" s="13">
        <v>19</v>
      </c>
      <c r="T31" s="13">
        <v>49</v>
      </c>
      <c r="U31" s="13">
        <v>237</v>
      </c>
      <c r="V31" s="46">
        <v>0.47899999999999998</v>
      </c>
      <c r="W31" s="72">
        <v>161.30000000000001</v>
      </c>
      <c r="X31" s="156" t="s">
        <v>270</v>
      </c>
      <c r="Y31" s="48"/>
    </row>
    <row r="32" spans="1:25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4"/>
      <c r="O32" s="11"/>
      <c r="P32" s="24"/>
      <c r="Q32" s="11"/>
      <c r="R32" s="11"/>
      <c r="S32" s="11"/>
      <c r="T32" s="11"/>
      <c r="U32" s="11"/>
      <c r="V32" s="11"/>
      <c r="W32" s="11"/>
      <c r="X32" s="24"/>
      <c r="Y32" s="24"/>
    </row>
    <row r="33" spans="3:2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P33" s="2"/>
      <c r="X33" s="2"/>
      <c r="Y33" s="2"/>
    </row>
    <row r="34" spans="3:2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P34" s="2"/>
      <c r="X34" s="71"/>
      <c r="Y34" s="2"/>
    </row>
    <row r="35" spans="3:2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P35" s="2"/>
      <c r="X35" s="72"/>
      <c r="Y35" s="2"/>
    </row>
    <row r="36" spans="3:2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P36" s="2"/>
      <c r="X36" s="72"/>
      <c r="Y36" s="2"/>
    </row>
    <row r="37" spans="3:2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P37" s="2"/>
      <c r="X37" s="2"/>
      <c r="Y37" s="2"/>
    </row>
    <row r="38" spans="3:2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P38" s="2"/>
      <c r="X38" s="2"/>
      <c r="Y38" s="2"/>
    </row>
    <row r="39" spans="3: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2"/>
      <c r="X39" s="2"/>
      <c r="Y39" s="2"/>
    </row>
    <row r="40" spans="3: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"/>
      <c r="X40" s="2"/>
      <c r="Y40" s="2"/>
    </row>
    <row r="41" spans="3: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P41" s="2"/>
      <c r="X41" s="2"/>
      <c r="Y41" s="2"/>
    </row>
    <row r="42" spans="3: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X42" s="2"/>
      <c r="Y42" s="2"/>
    </row>
    <row r="43" spans="3: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X43" s="2"/>
      <c r="Y43" s="2"/>
    </row>
    <row r="44" spans="3: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P44" s="2"/>
      <c r="X44" s="2"/>
      <c r="Y44" s="2"/>
    </row>
    <row r="45" spans="3:25">
      <c r="C45" s="2"/>
      <c r="D45" s="2"/>
      <c r="E45" s="2"/>
      <c r="F45" s="2"/>
      <c r="G45" s="2"/>
      <c r="H45" s="2"/>
      <c r="I45" s="2"/>
      <c r="J45" s="2"/>
      <c r="K45" s="2"/>
      <c r="L45" s="2"/>
      <c r="P45" s="2"/>
      <c r="X45" s="2"/>
      <c r="Y45" s="2"/>
    </row>
    <row r="46" spans="3:25">
      <c r="C46" s="2"/>
      <c r="D46" s="2"/>
      <c r="E46" s="2"/>
      <c r="F46" s="2"/>
      <c r="G46" s="2"/>
      <c r="H46" s="2"/>
      <c r="I46" s="2"/>
      <c r="J46" s="2"/>
      <c r="K46" s="2"/>
      <c r="L46" s="2"/>
      <c r="P46" s="2"/>
      <c r="X46" s="2"/>
      <c r="Y46" s="2"/>
    </row>
    <row r="47" spans="3:25">
      <c r="C47" s="2"/>
      <c r="D47" s="2"/>
      <c r="E47" s="2"/>
      <c r="F47" s="2"/>
      <c r="G47" s="2"/>
      <c r="H47" s="2"/>
      <c r="I47" s="2"/>
      <c r="J47" s="2"/>
      <c r="K47" s="2"/>
      <c r="L47" s="2"/>
      <c r="P47" s="2"/>
      <c r="X47" s="2"/>
      <c r="Y47" s="2"/>
    </row>
    <row r="48" spans="3:25">
      <c r="C48" s="2"/>
      <c r="D48" s="2"/>
      <c r="E48" s="2"/>
      <c r="F48" s="2"/>
      <c r="G48" s="2"/>
      <c r="H48" s="2"/>
      <c r="I48" s="2"/>
      <c r="J48" s="2"/>
      <c r="K48" s="2"/>
      <c r="L48" s="2"/>
      <c r="P48" s="2"/>
      <c r="X48" s="2"/>
      <c r="Y48" s="2"/>
    </row>
    <row r="49" spans="16:25">
      <c r="P49" s="2"/>
      <c r="X49" s="2"/>
      <c r="Y49" s="2"/>
    </row>
    <row r="50" spans="16:25">
      <c r="P50" s="2"/>
      <c r="X50" s="2"/>
      <c r="Y50" s="2"/>
    </row>
  </sheetData>
  <sortState xmlns:xlrd2="http://schemas.microsoft.com/office/spreadsheetml/2017/richdata2" ref="N29:Y31">
    <sortCondition descending="1" ref="N29:N31"/>
  </sortState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Z69"/>
  <sheetViews>
    <sheetView zoomScale="93" zoomScaleNormal="93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0.5703125" style="2" customWidth="1"/>
    <col min="15" max="15" width="13.140625" style="6" customWidth="1"/>
    <col min="16" max="16" width="12.85546875" style="3" bestFit="1" customWidth="1"/>
    <col min="17" max="20" width="6.7109375" style="6" customWidth="1"/>
    <col min="21" max="21" width="8.28515625" style="6" customWidth="1"/>
    <col min="22" max="22" width="11.7109375" style="6" customWidth="1"/>
    <col min="23" max="23" width="11.42578125" style="6" customWidth="1"/>
    <col min="24" max="24" width="9.7109375" style="6" customWidth="1"/>
    <col min="25" max="25" width="22.28515625" style="22" bestFit="1" customWidth="1"/>
    <col min="26" max="27" width="9.140625" style="1"/>
    <col min="28" max="28" width="22.140625" style="1" bestFit="1" customWidth="1"/>
    <col min="29" max="16384" width="9.140625" style="1"/>
  </cols>
  <sheetData>
    <row r="1" spans="1:26" s="87" customFormat="1" ht="18.75">
      <c r="A1" s="76"/>
      <c r="B1" s="28" t="s">
        <v>54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7"/>
      <c r="N1" s="19"/>
      <c r="O1" s="79"/>
      <c r="P1" s="15"/>
      <c r="Q1" s="80"/>
      <c r="R1" s="80"/>
      <c r="S1" s="80"/>
      <c r="T1" s="80"/>
      <c r="U1" s="80"/>
      <c r="V1" s="80"/>
      <c r="W1" s="80"/>
      <c r="X1" s="80"/>
      <c r="Y1" s="76"/>
      <c r="Z1" s="81"/>
    </row>
    <row r="2" spans="1:26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162</v>
      </c>
      <c r="P2" s="31"/>
      <c r="Q2" s="11"/>
      <c r="R2" s="11"/>
      <c r="S2" s="11"/>
      <c r="T2" s="11"/>
      <c r="U2" s="11"/>
      <c r="V2" s="11"/>
      <c r="W2" s="11"/>
      <c r="X2" s="11"/>
      <c r="Y2" s="25"/>
    </row>
    <row r="3" spans="1:26">
      <c r="B3" s="104" t="s">
        <v>39</v>
      </c>
      <c r="C3" s="106" t="s">
        <v>36</v>
      </c>
      <c r="D3" s="106" t="s">
        <v>36</v>
      </c>
      <c r="E3" s="106" t="s">
        <v>36</v>
      </c>
      <c r="F3" s="106" t="s">
        <v>36</v>
      </c>
      <c r="G3" s="106" t="s">
        <v>36</v>
      </c>
      <c r="H3" s="106" t="s">
        <v>36</v>
      </c>
      <c r="I3" s="106" t="s">
        <v>36</v>
      </c>
      <c r="J3" s="106" t="s">
        <v>36</v>
      </c>
      <c r="K3" s="106" t="s">
        <v>36</v>
      </c>
      <c r="L3" s="106" t="s">
        <v>36</v>
      </c>
      <c r="M3" s="2"/>
      <c r="N3" s="32" t="s">
        <v>116</v>
      </c>
      <c r="O3" s="5" t="s">
        <v>758</v>
      </c>
      <c r="Y3" s="33"/>
    </row>
    <row r="4" spans="1:26">
      <c r="B4" s="104" t="s">
        <v>40</v>
      </c>
      <c r="C4" s="106" t="s">
        <v>36</v>
      </c>
      <c r="D4" s="106" t="s">
        <v>36</v>
      </c>
      <c r="E4" s="106" t="s">
        <v>36</v>
      </c>
      <c r="F4" s="106" t="s">
        <v>36</v>
      </c>
      <c r="G4" s="106" t="s">
        <v>36</v>
      </c>
      <c r="H4" s="106" t="s">
        <v>36</v>
      </c>
      <c r="I4" s="106">
        <v>5</v>
      </c>
      <c r="J4" s="106">
        <v>7</v>
      </c>
      <c r="K4" s="106">
        <v>4</v>
      </c>
      <c r="L4" s="106">
        <v>2</v>
      </c>
      <c r="M4" s="2"/>
      <c r="N4" s="32" t="s">
        <v>115</v>
      </c>
      <c r="O4" s="5" t="s">
        <v>759</v>
      </c>
      <c r="Y4" s="33"/>
    </row>
    <row r="5" spans="1:26">
      <c r="B5" s="104" t="s">
        <v>41</v>
      </c>
      <c r="C5" s="106">
        <v>1</v>
      </c>
      <c r="D5" s="107">
        <v>5</v>
      </c>
      <c r="E5" s="107">
        <v>6</v>
      </c>
      <c r="F5" s="107">
        <v>8</v>
      </c>
      <c r="G5" s="106">
        <v>5</v>
      </c>
      <c r="H5" s="106" t="s">
        <v>36</v>
      </c>
      <c r="I5" s="106">
        <v>2</v>
      </c>
      <c r="J5" s="106" t="s">
        <v>36</v>
      </c>
      <c r="K5" s="106">
        <v>4</v>
      </c>
      <c r="L5" s="106">
        <v>2</v>
      </c>
      <c r="M5" s="2"/>
      <c r="N5" s="32" t="s">
        <v>1</v>
      </c>
      <c r="O5" s="21" t="s">
        <v>210</v>
      </c>
      <c r="Y5" s="33"/>
    </row>
    <row r="6" spans="1:26">
      <c r="B6" s="104" t="s">
        <v>42</v>
      </c>
      <c r="C6" s="106">
        <v>7</v>
      </c>
      <c r="D6" s="106">
        <v>8</v>
      </c>
      <c r="E6" s="106">
        <v>7</v>
      </c>
      <c r="F6" s="106">
        <v>2</v>
      </c>
      <c r="G6" s="106">
        <v>2</v>
      </c>
      <c r="H6" s="107">
        <v>2</v>
      </c>
      <c r="I6" s="107">
        <v>2</v>
      </c>
      <c r="J6" s="108">
        <v>8</v>
      </c>
      <c r="K6" s="108">
        <v>9</v>
      </c>
      <c r="L6" s="108">
        <v>16</v>
      </c>
      <c r="M6" s="2"/>
      <c r="N6" s="34" t="s">
        <v>2</v>
      </c>
      <c r="O6" s="35" t="s">
        <v>167</v>
      </c>
      <c r="P6" s="36"/>
      <c r="Q6" s="37"/>
      <c r="R6" s="37"/>
      <c r="S6" s="37"/>
      <c r="T6" s="37"/>
      <c r="U6" s="37"/>
      <c r="V6" s="37"/>
      <c r="W6" s="37"/>
      <c r="X6" s="37"/>
      <c r="Y6" s="38"/>
    </row>
    <row r="7" spans="1:26">
      <c r="B7" s="104" t="s">
        <v>118</v>
      </c>
      <c r="C7" s="107">
        <v>2</v>
      </c>
      <c r="D7" s="107">
        <v>1</v>
      </c>
      <c r="E7" s="108">
        <v>3</v>
      </c>
      <c r="F7" s="108">
        <v>2</v>
      </c>
      <c r="G7" s="91"/>
      <c r="H7" s="91"/>
      <c r="I7" s="91"/>
      <c r="J7" s="91"/>
      <c r="K7" s="91"/>
      <c r="L7" s="92"/>
      <c r="M7" s="2"/>
      <c r="Y7" s="2"/>
    </row>
    <row r="8" spans="1:26">
      <c r="I8" s="4"/>
      <c r="J8" s="4"/>
      <c r="K8" s="4"/>
      <c r="L8" s="4"/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11"/>
      <c r="X8" s="39"/>
      <c r="Y8" s="40"/>
    </row>
    <row r="9" spans="1:26">
      <c r="B9" s="90" t="s">
        <v>35</v>
      </c>
      <c r="C9" s="9"/>
      <c r="D9" s="52" t="s">
        <v>268</v>
      </c>
      <c r="E9" s="53"/>
      <c r="F9" s="53"/>
      <c r="G9" s="84" t="s">
        <v>269</v>
      </c>
      <c r="H9" s="85"/>
      <c r="I9" s="86"/>
      <c r="J9" s="54" t="s">
        <v>220</v>
      </c>
      <c r="K9" s="55"/>
      <c r="L9" s="56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565</v>
      </c>
      <c r="X9" s="43" t="s">
        <v>31</v>
      </c>
      <c r="Y9" s="93"/>
    </row>
    <row r="10" spans="1:26">
      <c r="B10" s="57"/>
      <c r="C10" s="2"/>
      <c r="D10" s="2"/>
      <c r="E10" s="2"/>
      <c r="F10" s="13"/>
      <c r="G10" s="13"/>
      <c r="H10" s="13"/>
      <c r="I10" s="2"/>
      <c r="J10" s="2"/>
      <c r="K10" s="2"/>
      <c r="L10" s="2"/>
      <c r="M10" s="2"/>
      <c r="N10" s="44" t="s">
        <v>137</v>
      </c>
      <c r="O10" s="45">
        <v>34765</v>
      </c>
      <c r="P10" s="4" t="s">
        <v>138</v>
      </c>
      <c r="Q10" s="13">
        <v>149</v>
      </c>
      <c r="R10" s="13">
        <v>7</v>
      </c>
      <c r="S10" s="13">
        <v>55</v>
      </c>
      <c r="T10" s="13">
        <v>162</v>
      </c>
      <c r="U10" s="13">
        <v>564</v>
      </c>
      <c r="V10" s="46">
        <v>0.57499999999999996</v>
      </c>
      <c r="W10" s="47" t="s">
        <v>635</v>
      </c>
      <c r="X10" s="21" t="s">
        <v>150</v>
      </c>
      <c r="Y10" s="48"/>
    </row>
    <row r="11" spans="1:26">
      <c r="B11" s="57" t="s">
        <v>612</v>
      </c>
      <c r="C11" s="2"/>
      <c r="D11" s="2"/>
      <c r="E11" s="2"/>
      <c r="F11" s="13"/>
      <c r="G11" s="13"/>
      <c r="H11" s="13"/>
      <c r="I11" s="2"/>
      <c r="J11" s="2"/>
      <c r="K11" s="2"/>
      <c r="L11" s="2"/>
      <c r="M11" s="2"/>
      <c r="N11" s="44" t="s">
        <v>593</v>
      </c>
      <c r="O11" s="45">
        <v>38436</v>
      </c>
      <c r="P11" s="4" t="s">
        <v>136</v>
      </c>
      <c r="Q11" s="13"/>
      <c r="R11" s="13"/>
      <c r="S11" s="13"/>
      <c r="T11" s="13"/>
      <c r="U11" s="13"/>
      <c r="V11" s="46"/>
      <c r="W11" s="47" t="s">
        <v>641</v>
      </c>
      <c r="X11" s="21" t="s">
        <v>133</v>
      </c>
      <c r="Y11" s="48"/>
    </row>
    <row r="12" spans="1:26">
      <c r="B12" s="57"/>
      <c r="C12" s="2"/>
      <c r="D12" s="2"/>
      <c r="E12" s="2"/>
      <c r="F12" s="13"/>
      <c r="G12" s="13"/>
      <c r="H12" s="13"/>
      <c r="I12" s="2"/>
      <c r="J12" s="2"/>
      <c r="K12" s="2"/>
      <c r="L12" s="2"/>
      <c r="M12" s="2"/>
      <c r="N12" s="44" t="s">
        <v>594</v>
      </c>
      <c r="O12" s="45">
        <v>38637</v>
      </c>
      <c r="P12" s="4" t="s">
        <v>132</v>
      </c>
      <c r="Q12" s="13"/>
      <c r="R12" s="13"/>
      <c r="S12" s="13"/>
      <c r="T12" s="13"/>
      <c r="U12" s="13"/>
      <c r="V12" s="46"/>
      <c r="W12" s="47" t="s">
        <v>641</v>
      </c>
      <c r="X12" s="21" t="s">
        <v>133</v>
      </c>
      <c r="Y12" s="48"/>
    </row>
    <row r="13" spans="1:26">
      <c r="B13" s="57"/>
      <c r="C13" s="2"/>
      <c r="D13" s="2"/>
      <c r="E13" s="2"/>
      <c r="F13" s="13"/>
      <c r="G13" s="13"/>
      <c r="H13" s="13"/>
      <c r="I13" s="2"/>
      <c r="J13" s="2"/>
      <c r="K13" s="2"/>
      <c r="L13" s="2"/>
      <c r="M13" s="2"/>
      <c r="N13" s="44" t="s">
        <v>595</v>
      </c>
      <c r="O13" s="45">
        <v>38625</v>
      </c>
      <c r="P13" s="4" t="s">
        <v>132</v>
      </c>
      <c r="Q13" s="13"/>
      <c r="R13" s="13"/>
      <c r="S13" s="13"/>
      <c r="T13" s="13"/>
      <c r="U13" s="13"/>
      <c r="V13" s="46"/>
      <c r="W13" s="47" t="s">
        <v>641</v>
      </c>
      <c r="X13" s="21" t="s">
        <v>133</v>
      </c>
      <c r="Y13" s="48"/>
    </row>
    <row r="14" spans="1:26">
      <c r="B14" s="57"/>
      <c r="C14" s="2"/>
      <c r="D14" s="2"/>
      <c r="E14" s="2"/>
      <c r="F14" s="13"/>
      <c r="G14" s="13"/>
      <c r="H14" s="13"/>
      <c r="I14" s="2"/>
      <c r="J14" s="2"/>
      <c r="K14" s="2"/>
      <c r="L14" s="2"/>
      <c r="M14" s="2"/>
      <c r="N14" s="44" t="s">
        <v>596</v>
      </c>
      <c r="O14" s="45">
        <v>38649</v>
      </c>
      <c r="P14" s="4" t="s">
        <v>132</v>
      </c>
      <c r="Q14" s="13"/>
      <c r="R14" s="13"/>
      <c r="S14" s="13"/>
      <c r="T14" s="13"/>
      <c r="U14" s="13"/>
      <c r="V14" s="46"/>
      <c r="W14" s="47" t="s">
        <v>641</v>
      </c>
      <c r="X14" s="21" t="s">
        <v>133</v>
      </c>
      <c r="Y14" s="48"/>
    </row>
    <row r="15" spans="1:26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4" t="s">
        <v>182</v>
      </c>
      <c r="O15" s="45">
        <v>36735</v>
      </c>
      <c r="P15" s="16" t="s">
        <v>112</v>
      </c>
      <c r="Q15" s="13">
        <v>88</v>
      </c>
      <c r="R15" s="13">
        <v>2</v>
      </c>
      <c r="S15" s="13">
        <v>57</v>
      </c>
      <c r="T15" s="13">
        <v>33</v>
      </c>
      <c r="U15" s="13">
        <v>216</v>
      </c>
      <c r="V15" s="46">
        <v>0.52300000000000002</v>
      </c>
      <c r="W15" s="47" t="s">
        <v>635</v>
      </c>
      <c r="X15" s="94" t="s">
        <v>113</v>
      </c>
      <c r="Y15" s="51"/>
    </row>
    <row r="16" spans="1:26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9" t="s">
        <v>165</v>
      </c>
      <c r="O16" s="50">
        <v>38425</v>
      </c>
      <c r="P16" s="4" t="s">
        <v>53</v>
      </c>
      <c r="Q16" s="13">
        <v>36</v>
      </c>
      <c r="R16" s="13">
        <v>0</v>
      </c>
      <c r="S16" s="13">
        <v>21</v>
      </c>
      <c r="T16" s="13">
        <v>16</v>
      </c>
      <c r="U16" s="13">
        <v>84</v>
      </c>
      <c r="V16" s="46">
        <v>0.497</v>
      </c>
      <c r="W16" s="47" t="s">
        <v>635</v>
      </c>
      <c r="X16" s="21" t="s">
        <v>54</v>
      </c>
      <c r="Y16" s="48"/>
    </row>
    <row r="17" spans="1:2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9" t="s">
        <v>597</v>
      </c>
      <c r="O17" s="50">
        <v>39010</v>
      </c>
      <c r="P17" s="4" t="s">
        <v>187</v>
      </c>
      <c r="Q17" s="13">
        <v>2</v>
      </c>
      <c r="R17" s="13">
        <v>0</v>
      </c>
      <c r="S17" s="13">
        <v>0</v>
      </c>
      <c r="T17" s="13">
        <v>1</v>
      </c>
      <c r="U17" s="13">
        <v>3</v>
      </c>
      <c r="V17" s="46">
        <v>0.33300000000000002</v>
      </c>
      <c r="W17" s="47" t="s">
        <v>642</v>
      </c>
      <c r="X17" s="21" t="s">
        <v>188</v>
      </c>
      <c r="Y17" s="48"/>
    </row>
    <row r="18" spans="1:2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9" t="s">
        <v>247</v>
      </c>
      <c r="O18" s="50">
        <v>38539</v>
      </c>
      <c r="P18" s="4" t="s">
        <v>12</v>
      </c>
      <c r="Q18" s="13">
        <v>1</v>
      </c>
      <c r="R18" s="13">
        <v>0</v>
      </c>
      <c r="S18" s="13">
        <v>1</v>
      </c>
      <c r="T18" s="13">
        <v>0</v>
      </c>
      <c r="U18" s="13">
        <v>0</v>
      </c>
      <c r="V18" s="46">
        <v>0.33300000000000002</v>
      </c>
      <c r="W18" s="47" t="s">
        <v>638</v>
      </c>
      <c r="X18" s="21" t="s">
        <v>60</v>
      </c>
      <c r="Y18" s="48"/>
    </row>
    <row r="19" spans="1:2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9" t="s">
        <v>248</v>
      </c>
      <c r="O19" s="50">
        <v>37407</v>
      </c>
      <c r="P19" s="4" t="s">
        <v>236</v>
      </c>
      <c r="Q19" s="13">
        <v>24</v>
      </c>
      <c r="R19" s="13">
        <v>4</v>
      </c>
      <c r="S19" s="13">
        <v>10</v>
      </c>
      <c r="T19" s="13">
        <v>32</v>
      </c>
      <c r="U19" s="13">
        <v>115</v>
      </c>
      <c r="V19" s="46">
        <v>0.69699999999999995</v>
      </c>
      <c r="W19" s="47" t="s">
        <v>635</v>
      </c>
      <c r="X19" s="21" t="s">
        <v>128</v>
      </c>
      <c r="Y19" s="48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9" t="s">
        <v>598</v>
      </c>
      <c r="O20" s="50">
        <v>36646</v>
      </c>
      <c r="P20" s="4" t="s">
        <v>22</v>
      </c>
      <c r="Q20" s="13"/>
      <c r="R20" s="13"/>
      <c r="S20" s="13"/>
      <c r="T20" s="13"/>
      <c r="U20" s="13"/>
      <c r="V20" s="46"/>
      <c r="W20" s="47" t="s">
        <v>641</v>
      </c>
      <c r="X20" s="21" t="s">
        <v>133</v>
      </c>
      <c r="Y20" s="48"/>
    </row>
    <row r="21" spans="1:25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9" t="s">
        <v>599</v>
      </c>
      <c r="O21" s="50">
        <v>39881</v>
      </c>
      <c r="P21" s="4" t="s">
        <v>132</v>
      </c>
      <c r="Q21" s="13"/>
      <c r="R21" s="13"/>
      <c r="S21" s="13"/>
      <c r="T21" s="13"/>
      <c r="U21" s="13"/>
      <c r="V21" s="46"/>
      <c r="W21" s="47" t="s">
        <v>641</v>
      </c>
      <c r="X21" s="21" t="s">
        <v>133</v>
      </c>
      <c r="Y21" s="48"/>
    </row>
    <row r="22" spans="1:25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9" t="s">
        <v>600</v>
      </c>
      <c r="O22" s="50">
        <v>38375</v>
      </c>
      <c r="P22" s="4" t="s">
        <v>132</v>
      </c>
      <c r="Q22" s="13"/>
      <c r="R22" s="13"/>
      <c r="S22" s="13"/>
      <c r="T22" s="13"/>
      <c r="U22" s="13"/>
      <c r="V22" s="46"/>
      <c r="W22" s="47" t="s">
        <v>641</v>
      </c>
      <c r="X22" s="21" t="s">
        <v>133</v>
      </c>
      <c r="Y22" s="48"/>
    </row>
    <row r="23" spans="1:2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9" t="s">
        <v>757</v>
      </c>
      <c r="O23" s="50">
        <v>37394</v>
      </c>
      <c r="P23" s="4" t="s">
        <v>12</v>
      </c>
      <c r="Q23" s="13">
        <v>4</v>
      </c>
      <c r="R23" s="13">
        <v>0</v>
      </c>
      <c r="S23" s="13">
        <v>3</v>
      </c>
      <c r="T23" s="13">
        <v>1</v>
      </c>
      <c r="U23" s="13">
        <v>11</v>
      </c>
      <c r="V23" s="46">
        <v>0.44</v>
      </c>
      <c r="W23" s="47" t="s">
        <v>732</v>
      </c>
      <c r="X23" s="21" t="s">
        <v>60</v>
      </c>
      <c r="Y23" s="48"/>
    </row>
    <row r="24" spans="1:25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9" t="s">
        <v>249</v>
      </c>
      <c r="O24" s="58">
        <v>38271</v>
      </c>
      <c r="P24" s="20" t="s">
        <v>168</v>
      </c>
      <c r="Q24" s="13">
        <v>22</v>
      </c>
      <c r="R24" s="13">
        <v>1</v>
      </c>
      <c r="S24" s="13">
        <v>5</v>
      </c>
      <c r="T24" s="13">
        <v>13</v>
      </c>
      <c r="U24" s="13">
        <v>54</v>
      </c>
      <c r="V24" s="46">
        <v>0.6</v>
      </c>
      <c r="W24" s="47" t="s">
        <v>635</v>
      </c>
      <c r="X24" s="21" t="s">
        <v>169</v>
      </c>
      <c r="Y24" s="48"/>
    </row>
    <row r="25" spans="1:25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9" t="s">
        <v>251</v>
      </c>
      <c r="O25" s="50">
        <v>38897</v>
      </c>
      <c r="P25" s="4" t="s">
        <v>187</v>
      </c>
      <c r="Q25" s="13">
        <v>24</v>
      </c>
      <c r="R25" s="13">
        <v>0</v>
      </c>
      <c r="S25" s="13">
        <v>4</v>
      </c>
      <c r="T25" s="13">
        <v>40</v>
      </c>
      <c r="U25" s="13">
        <v>116</v>
      </c>
      <c r="V25" s="46">
        <v>0.76300000000000001</v>
      </c>
      <c r="W25" s="47" t="s">
        <v>635</v>
      </c>
      <c r="X25" s="21" t="s">
        <v>188</v>
      </c>
      <c r="Y25" s="48"/>
    </row>
    <row r="26" spans="1:25">
      <c r="A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9" t="s">
        <v>170</v>
      </c>
      <c r="O26" s="50">
        <v>38641</v>
      </c>
      <c r="P26" s="4" t="s">
        <v>171</v>
      </c>
      <c r="Q26" s="13">
        <v>48</v>
      </c>
      <c r="R26" s="13">
        <v>4</v>
      </c>
      <c r="S26" s="13">
        <v>10</v>
      </c>
      <c r="T26" s="13">
        <v>36</v>
      </c>
      <c r="U26" s="13">
        <v>168</v>
      </c>
      <c r="V26" s="46">
        <v>0.55600000000000005</v>
      </c>
      <c r="W26" s="47" t="s">
        <v>635</v>
      </c>
      <c r="X26" s="21" t="s">
        <v>54</v>
      </c>
      <c r="Y26" s="48"/>
    </row>
    <row r="27" spans="1:2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9" t="s">
        <v>203</v>
      </c>
      <c r="O27" s="45">
        <v>38325</v>
      </c>
      <c r="P27" s="4" t="s">
        <v>204</v>
      </c>
      <c r="Q27" s="13">
        <v>43</v>
      </c>
      <c r="R27" s="13">
        <v>2</v>
      </c>
      <c r="S27" s="13">
        <v>5</v>
      </c>
      <c r="T27" s="13">
        <v>27</v>
      </c>
      <c r="U27" s="13">
        <v>97</v>
      </c>
      <c r="V27" s="46">
        <v>0.53600000000000003</v>
      </c>
      <c r="W27" s="47" t="s">
        <v>635</v>
      </c>
      <c r="X27" s="21" t="s">
        <v>60</v>
      </c>
      <c r="Y27" s="48"/>
    </row>
    <row r="28" spans="1:25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59" t="s">
        <v>250</v>
      </c>
      <c r="O28" s="50">
        <v>38987</v>
      </c>
      <c r="P28" s="4" t="s">
        <v>109</v>
      </c>
      <c r="Q28" s="13">
        <v>1</v>
      </c>
      <c r="R28" s="13">
        <v>0</v>
      </c>
      <c r="S28" s="13">
        <v>0</v>
      </c>
      <c r="T28" s="13">
        <v>0</v>
      </c>
      <c r="U28" s="13">
        <v>1</v>
      </c>
      <c r="V28" s="46">
        <v>0</v>
      </c>
      <c r="W28" s="47" t="s">
        <v>639</v>
      </c>
      <c r="X28" s="21" t="s">
        <v>54</v>
      </c>
      <c r="Y28" s="48"/>
    </row>
    <row r="29" spans="1:25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59" t="s">
        <v>601</v>
      </c>
      <c r="O29" s="50">
        <v>38349</v>
      </c>
      <c r="P29" s="4" t="s">
        <v>132</v>
      </c>
      <c r="Q29" s="13"/>
      <c r="R29" s="13"/>
      <c r="S29" s="13"/>
      <c r="T29" s="13"/>
      <c r="U29" s="13"/>
      <c r="V29" s="46"/>
      <c r="W29" s="47" t="s">
        <v>641</v>
      </c>
      <c r="X29" s="21" t="s">
        <v>133</v>
      </c>
      <c r="Y29" s="48"/>
    </row>
    <row r="30" spans="1:25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59" t="s">
        <v>602</v>
      </c>
      <c r="O30" s="50">
        <v>37859</v>
      </c>
      <c r="P30" s="4" t="s">
        <v>53</v>
      </c>
      <c r="Q30" s="13">
        <v>36</v>
      </c>
      <c r="R30" s="13">
        <v>0</v>
      </c>
      <c r="S30" s="13">
        <v>5</v>
      </c>
      <c r="T30" s="13">
        <v>49</v>
      </c>
      <c r="U30" s="13">
        <v>153</v>
      </c>
      <c r="V30" s="46">
        <v>0.622</v>
      </c>
      <c r="W30" s="47" t="s">
        <v>640</v>
      </c>
      <c r="X30" s="21" t="s">
        <v>54</v>
      </c>
      <c r="Y30" s="48"/>
    </row>
    <row r="31" spans="1:25">
      <c r="A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59" t="s">
        <v>202</v>
      </c>
      <c r="O31" s="50">
        <v>38660</v>
      </c>
      <c r="P31" s="4" t="s">
        <v>132</v>
      </c>
      <c r="Q31" s="13">
        <v>36</v>
      </c>
      <c r="R31" s="13">
        <v>1</v>
      </c>
      <c r="S31" s="13">
        <v>13</v>
      </c>
      <c r="T31" s="13">
        <v>28</v>
      </c>
      <c r="U31" s="13">
        <v>98</v>
      </c>
      <c r="V31" s="46">
        <v>0.51</v>
      </c>
      <c r="W31" s="47" t="s">
        <v>635</v>
      </c>
      <c r="X31" s="21" t="s">
        <v>133</v>
      </c>
      <c r="Y31" s="48"/>
    </row>
    <row r="32" spans="1:25">
      <c r="A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59" t="s">
        <v>603</v>
      </c>
      <c r="O32" s="50">
        <v>38371</v>
      </c>
      <c r="P32" s="4" t="s">
        <v>163</v>
      </c>
      <c r="Q32" s="13">
        <v>18</v>
      </c>
      <c r="R32" s="13">
        <v>1</v>
      </c>
      <c r="S32" s="13">
        <v>19</v>
      </c>
      <c r="T32" s="13">
        <v>3</v>
      </c>
      <c r="U32" s="13">
        <v>56</v>
      </c>
      <c r="V32" s="65">
        <v>0.496</v>
      </c>
      <c r="W32" s="66" t="s">
        <v>641</v>
      </c>
      <c r="X32" s="21" t="s">
        <v>164</v>
      </c>
      <c r="Y32" s="48"/>
    </row>
    <row r="33" spans="1:25">
      <c r="A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4"/>
      <c r="O33" s="11"/>
      <c r="P33" s="31"/>
      <c r="Q33" s="60"/>
      <c r="R33" s="60"/>
      <c r="S33" s="60"/>
      <c r="T33" s="60"/>
      <c r="U33" s="60"/>
      <c r="V33" s="60"/>
      <c r="W33" s="68"/>
      <c r="X33" s="69"/>
      <c r="Y33" s="30"/>
    </row>
    <row r="34" spans="1:25">
      <c r="A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12" t="s">
        <v>221</v>
      </c>
      <c r="O34" s="11"/>
      <c r="P34" s="31"/>
      <c r="Q34" s="11"/>
      <c r="R34" s="11"/>
      <c r="S34" s="11"/>
      <c r="T34" s="11"/>
      <c r="U34" s="11"/>
      <c r="V34" s="11"/>
      <c r="W34" s="11"/>
      <c r="X34" s="70"/>
      <c r="Y34" s="40"/>
    </row>
    <row r="35" spans="1:25" ht="14.25">
      <c r="A35" s="1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14" t="s">
        <v>5</v>
      </c>
      <c r="O35" s="41" t="s">
        <v>0</v>
      </c>
      <c r="P35" s="3" t="s">
        <v>3</v>
      </c>
      <c r="Q35" s="6" t="s">
        <v>13</v>
      </c>
      <c r="R35" s="6" t="s">
        <v>14</v>
      </c>
      <c r="S35" s="6" t="s">
        <v>15</v>
      </c>
      <c r="T35" s="6" t="s">
        <v>16</v>
      </c>
      <c r="U35" s="6" t="s">
        <v>17</v>
      </c>
      <c r="V35" s="42" t="s">
        <v>18</v>
      </c>
      <c r="W35" s="71" t="s">
        <v>222</v>
      </c>
      <c r="X35" s="19" t="s">
        <v>223</v>
      </c>
      <c r="Y35" s="33"/>
    </row>
    <row r="36" spans="1:25">
      <c r="A36" s="1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9" t="s">
        <v>757</v>
      </c>
      <c r="O36" s="50">
        <v>37394</v>
      </c>
      <c r="P36" s="4" t="s">
        <v>12</v>
      </c>
      <c r="Q36" s="13">
        <v>124</v>
      </c>
      <c r="R36" s="13">
        <v>4</v>
      </c>
      <c r="S36" s="13">
        <v>41</v>
      </c>
      <c r="T36" s="13">
        <v>72</v>
      </c>
      <c r="U36" s="13">
        <v>395</v>
      </c>
      <c r="V36" s="46">
        <v>0.52800000000000002</v>
      </c>
      <c r="W36" s="72">
        <v>275</v>
      </c>
      <c r="X36" s="156" t="s">
        <v>732</v>
      </c>
      <c r="Y36" s="159"/>
    </row>
    <row r="37" spans="1:25">
      <c r="A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9" t="s">
        <v>248</v>
      </c>
      <c r="O37" s="50">
        <v>37407</v>
      </c>
      <c r="P37" s="4" t="s">
        <v>236</v>
      </c>
      <c r="Q37" s="13">
        <v>16</v>
      </c>
      <c r="R37" s="13">
        <v>1</v>
      </c>
      <c r="S37" s="13">
        <v>4</v>
      </c>
      <c r="T37" s="13">
        <v>10</v>
      </c>
      <c r="U37" s="13">
        <v>45</v>
      </c>
      <c r="V37" s="46">
        <v>0.21199999999999999</v>
      </c>
      <c r="W37" s="72">
        <v>33.700000000000003</v>
      </c>
      <c r="X37" s="156" t="s">
        <v>207</v>
      </c>
      <c r="Y37" s="159"/>
    </row>
    <row r="38" spans="1:2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59" t="s">
        <v>602</v>
      </c>
      <c r="O38" s="50">
        <v>37859</v>
      </c>
      <c r="P38" s="4" t="s">
        <v>53</v>
      </c>
      <c r="Q38" s="13">
        <v>4</v>
      </c>
      <c r="R38" s="13">
        <v>0</v>
      </c>
      <c r="S38" s="13">
        <v>2</v>
      </c>
      <c r="T38" s="13">
        <v>1</v>
      </c>
      <c r="U38" s="13">
        <v>10</v>
      </c>
      <c r="V38" s="157">
        <v>0.45500000000000002</v>
      </c>
      <c r="W38" s="72">
        <v>7</v>
      </c>
      <c r="X38" s="158" t="s">
        <v>252</v>
      </c>
      <c r="Y38" s="48"/>
    </row>
    <row r="39" spans="1: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4"/>
      <c r="O39" s="11"/>
      <c r="P39" s="24"/>
      <c r="Q39" s="11"/>
      <c r="R39" s="11"/>
      <c r="S39" s="11"/>
      <c r="T39" s="11"/>
      <c r="U39" s="11"/>
      <c r="V39" s="11"/>
      <c r="W39" s="11"/>
      <c r="X39" s="24"/>
      <c r="Y39" s="24"/>
    </row>
    <row r="40" spans="1: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"/>
      <c r="X40" s="2"/>
      <c r="Y40" s="2"/>
    </row>
    <row r="41" spans="1: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P41" s="2"/>
      <c r="X41" s="2"/>
      <c r="Y41" s="2"/>
    </row>
    <row r="42" spans="1: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X42" s="2"/>
      <c r="Y42" s="2"/>
    </row>
    <row r="43" spans="1: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X43" s="2"/>
      <c r="Y43" s="2"/>
    </row>
    <row r="44" spans="1: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P44" s="2"/>
      <c r="X44" s="2"/>
      <c r="Y44" s="2"/>
    </row>
    <row r="45" spans="1: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P45" s="2"/>
      <c r="X45" s="2"/>
      <c r="Y45" s="2"/>
    </row>
    <row r="46" spans="1: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P46" s="2"/>
      <c r="X46" s="2"/>
      <c r="Y46" s="2"/>
    </row>
    <row r="47" spans="1: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P47" s="2"/>
      <c r="X47" s="2"/>
      <c r="Y47" s="2"/>
    </row>
    <row r="48" spans="1: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P48" s="2"/>
      <c r="X48" s="2"/>
      <c r="Y48" s="2"/>
    </row>
    <row r="49" spans="3: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P49" s="2"/>
      <c r="X49" s="2"/>
      <c r="Y49" s="2"/>
    </row>
    <row r="50" spans="3: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P50" s="2"/>
      <c r="X50" s="2"/>
      <c r="Y50" s="2"/>
    </row>
    <row r="51" spans="3: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P51" s="2"/>
      <c r="X51" s="2"/>
      <c r="Y51" s="2"/>
    </row>
    <row r="52" spans="3:2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P52" s="2"/>
      <c r="X52" s="2"/>
      <c r="Y52" s="2"/>
    </row>
    <row r="53" spans="3:2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P53" s="2"/>
      <c r="X53" s="2"/>
      <c r="Y53" s="2"/>
    </row>
    <row r="54" spans="3:2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P54" s="2"/>
      <c r="X54" s="2"/>
      <c r="Y54" s="2"/>
    </row>
    <row r="55" spans="3:2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P55" s="2"/>
      <c r="X55" s="2"/>
      <c r="Y55" s="2"/>
    </row>
    <row r="56" spans="3:2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P56" s="2"/>
      <c r="X56" s="2"/>
      <c r="Y56" s="2"/>
    </row>
    <row r="57" spans="3:2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P57" s="2"/>
      <c r="X57" s="2"/>
      <c r="Y57" s="2"/>
    </row>
    <row r="58" spans="3:2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P58" s="2"/>
      <c r="X58" s="2"/>
      <c r="Y58" s="2"/>
    </row>
    <row r="59" spans="3:2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P59" s="2"/>
      <c r="X59" s="2"/>
      <c r="Y59" s="2"/>
    </row>
    <row r="60" spans="3:25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P60" s="2"/>
      <c r="X60" s="2"/>
      <c r="Y60" s="2"/>
    </row>
    <row r="61" spans="3:25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P61" s="2"/>
      <c r="X61" s="2"/>
      <c r="Y61" s="2"/>
    </row>
    <row r="62" spans="3:2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P62" s="2"/>
      <c r="X62" s="2"/>
      <c r="Y62" s="2"/>
    </row>
    <row r="63" spans="3:2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P63" s="2"/>
      <c r="X63" s="2"/>
      <c r="Y63" s="2"/>
    </row>
    <row r="64" spans="3:25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P64" s="2"/>
      <c r="X64" s="2"/>
      <c r="Y64" s="2"/>
    </row>
    <row r="65" spans="16:25">
      <c r="P65" s="2"/>
      <c r="X65" s="2"/>
      <c r="Y65" s="2"/>
    </row>
    <row r="66" spans="16:25">
      <c r="P66" s="2"/>
      <c r="X66" s="2"/>
      <c r="Y66" s="2"/>
    </row>
    <row r="67" spans="16:25">
      <c r="P67" s="2"/>
      <c r="X67" s="2"/>
      <c r="Y67" s="2"/>
    </row>
    <row r="68" spans="16:25">
      <c r="P68" s="2"/>
      <c r="X68" s="2"/>
      <c r="Y68" s="2"/>
    </row>
    <row r="69" spans="16:25">
      <c r="P69" s="2"/>
      <c r="X69" s="2"/>
      <c r="Y69" s="2"/>
    </row>
  </sheetData>
  <sortState xmlns:xlrd2="http://schemas.microsoft.com/office/spreadsheetml/2017/richdata2" ref="N36:Y37">
    <sortCondition descending="1" ref="N36:N37"/>
  </sortState>
  <hyperlinks>
    <hyperlink ref="AB9" r:id="rId1" display="https://www.pesistulokset.fi/pelaaja/10679" xr:uid="{5DB44F60-1B5F-469A-BB7E-D33321894272}"/>
    <hyperlink ref="AB10" r:id="rId2" display="https://www.pesistulokset.fi/pelaaja/11662" xr:uid="{9009C4C2-8A4E-434E-9CC3-5D2E1699E9E9}"/>
    <hyperlink ref="AB11" r:id="rId3" display="https://www.pesistulokset.fi/pelaaja/11028" xr:uid="{A51CDBC6-1B30-41DD-84CF-4C2DA45DA738}"/>
    <hyperlink ref="AB12" r:id="rId4" display="https://www.pesistulokset.fi/pelaaja/9031" xr:uid="{19B66C63-5C74-4EF6-AB80-0E784E77DA6C}"/>
    <hyperlink ref="AB13" r:id="rId5" display="https://www.pesistulokset.fi/pelaaja/7068" xr:uid="{E1483A67-70EA-42AF-8CC0-8033B160A77D}"/>
    <hyperlink ref="AB14" r:id="rId6" display="https://www.pesistulokset.fi/pelaaja/10461" xr:uid="{E87270FE-DB32-424C-B530-CECD66FA84AC}"/>
    <hyperlink ref="AB15" r:id="rId7" display="https://www.pesistulokset.fi/pelaaja/7776" xr:uid="{B63FE38E-26C1-42EF-A7EE-CA626B998EBA}"/>
    <hyperlink ref="AB16" r:id="rId8" display="https://www.pesistulokset.fi/pelaaja/10654" xr:uid="{AAC33020-9F02-431C-B3C0-658F0DDFBC05}"/>
    <hyperlink ref="AB17" r:id="rId9" display="https://www.pesistulokset.fi/pelaaja/10118" xr:uid="{8A37D3E0-B119-4994-B5F8-ED0096020510}"/>
    <hyperlink ref="AB18" r:id="rId10" display="https://www.pesistulokset.fi/pelaaja/9024" xr:uid="{D216C5EC-0100-4E17-9B32-CC91CC2143F0}"/>
    <hyperlink ref="AB19" r:id="rId11" display="https://www.pesistulokset.fi/pelaaja/10104" xr:uid="{444258F4-9A6E-4665-82A3-CA1E54898ACF}"/>
    <hyperlink ref="AB20" r:id="rId12" display="https://www.pesistulokset.fi/pelaaja/10646" xr:uid="{902E9DFD-E503-47C3-A42F-A4CF6FB6DF8B}"/>
    <hyperlink ref="AB21" r:id="rId13" display="https://www.pesistulokset.fi/pelaaja/10575" xr:uid="{D4534947-1F29-43AF-A827-87E16D836D48}"/>
    <hyperlink ref="AB22" r:id="rId14" display="https://www.pesistulokset.fi/pelaaja/11464" xr:uid="{9185B0CC-CEC4-4CCC-AFD1-69C7B4A98A8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CE000-D987-4A29-B278-699A48975E1A}">
  <dimension ref="A1:Y63"/>
  <sheetViews>
    <sheetView zoomScale="97" zoomScaleNormal="97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0.5703125" style="2" customWidth="1"/>
    <col min="15" max="15" width="13.140625" style="6" customWidth="1"/>
    <col min="16" max="16" width="12.85546875" style="3" bestFit="1" customWidth="1"/>
    <col min="17" max="21" width="6.7109375" style="6" customWidth="1"/>
    <col min="22" max="22" width="8.7109375" style="6" customWidth="1"/>
    <col min="23" max="23" width="12.7109375" style="6" customWidth="1"/>
    <col min="24" max="24" width="11" style="6" customWidth="1"/>
    <col min="25" max="25" width="23.42578125" style="22" bestFit="1" customWidth="1"/>
    <col min="26" max="16384" width="9.140625" style="1"/>
  </cols>
  <sheetData>
    <row r="1" spans="1:25" ht="18.75">
      <c r="A1" s="21"/>
      <c r="B1" s="75" t="s">
        <v>328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2"/>
      <c r="N1" s="19"/>
      <c r="Q1" s="13"/>
      <c r="R1" s="13"/>
      <c r="S1" s="13"/>
      <c r="T1" s="13"/>
      <c r="U1" s="13"/>
      <c r="V1" s="13"/>
      <c r="W1" s="13"/>
      <c r="X1" s="13"/>
      <c r="Y1" s="21"/>
    </row>
    <row r="2" spans="1:25">
      <c r="B2" s="12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73" t="s">
        <v>4</v>
      </c>
      <c r="O2" s="30" t="s">
        <v>655</v>
      </c>
      <c r="P2" s="31"/>
      <c r="Q2" s="11"/>
      <c r="R2" s="11"/>
      <c r="S2" s="11"/>
      <c r="T2" s="11"/>
      <c r="U2" s="11"/>
      <c r="V2" s="11"/>
      <c r="W2" s="11"/>
      <c r="X2" s="11"/>
      <c r="Y2" s="25"/>
    </row>
    <row r="3" spans="1:25">
      <c r="B3" s="14" t="s">
        <v>39</v>
      </c>
      <c r="C3" s="109" t="s">
        <v>48</v>
      </c>
      <c r="D3" s="109" t="s">
        <v>46</v>
      </c>
      <c r="E3" s="107">
        <v>1</v>
      </c>
      <c r="F3" s="110">
        <v>8</v>
      </c>
      <c r="G3" s="110">
        <v>2</v>
      </c>
      <c r="H3" s="110">
        <v>1</v>
      </c>
      <c r="I3" s="110">
        <v>1</v>
      </c>
      <c r="J3" s="110">
        <v>1</v>
      </c>
      <c r="K3" s="110">
        <v>4</v>
      </c>
      <c r="L3" s="110">
        <v>3</v>
      </c>
      <c r="M3" s="2"/>
      <c r="N3" s="59" t="s">
        <v>116</v>
      </c>
      <c r="O3" s="20" t="s">
        <v>693</v>
      </c>
      <c r="Y3" s="33"/>
    </row>
    <row r="4" spans="1:25">
      <c r="B4" s="14" t="s">
        <v>40</v>
      </c>
      <c r="C4" s="110">
        <v>3</v>
      </c>
      <c r="D4" s="110">
        <v>1</v>
      </c>
      <c r="E4" s="110">
        <v>5</v>
      </c>
      <c r="F4" s="110">
        <v>8</v>
      </c>
      <c r="G4" s="110">
        <v>8</v>
      </c>
      <c r="H4" s="110">
        <v>9</v>
      </c>
      <c r="I4" s="110">
        <v>12</v>
      </c>
      <c r="J4" s="113">
        <v>6</v>
      </c>
      <c r="K4" s="113">
        <v>6</v>
      </c>
      <c r="L4" s="113">
        <v>5</v>
      </c>
      <c r="M4" s="2"/>
      <c r="N4" s="59" t="s">
        <v>115</v>
      </c>
      <c r="O4" s="5" t="s">
        <v>694</v>
      </c>
      <c r="Y4" s="33"/>
    </row>
    <row r="5" spans="1:25">
      <c r="B5" s="14" t="s">
        <v>41</v>
      </c>
      <c r="C5" s="109" t="s">
        <v>36</v>
      </c>
      <c r="D5" s="109" t="s">
        <v>36</v>
      </c>
      <c r="E5" s="109" t="s">
        <v>36</v>
      </c>
      <c r="F5" s="109" t="s">
        <v>36</v>
      </c>
      <c r="G5" s="109" t="s">
        <v>46</v>
      </c>
      <c r="H5" s="107">
        <v>6</v>
      </c>
      <c r="I5" s="107">
        <v>2</v>
      </c>
      <c r="J5" s="109" t="s">
        <v>36</v>
      </c>
      <c r="K5" s="109" t="s">
        <v>36</v>
      </c>
      <c r="L5" s="109" t="s">
        <v>36</v>
      </c>
      <c r="M5" s="2"/>
      <c r="N5" s="49" t="s">
        <v>1</v>
      </c>
      <c r="O5" s="21" t="s">
        <v>656</v>
      </c>
      <c r="Y5" s="33"/>
    </row>
    <row r="6" spans="1:25">
      <c r="B6" s="14" t="s">
        <v>42</v>
      </c>
      <c r="C6" s="109" t="s">
        <v>36</v>
      </c>
      <c r="D6" s="109" t="s">
        <v>36</v>
      </c>
      <c r="E6" s="109" t="s">
        <v>36</v>
      </c>
      <c r="F6" s="109" t="s">
        <v>36</v>
      </c>
      <c r="G6" s="109" t="s">
        <v>36</v>
      </c>
      <c r="H6" s="109" t="s">
        <v>36</v>
      </c>
      <c r="I6" s="109" t="s">
        <v>36</v>
      </c>
      <c r="J6" s="109" t="s">
        <v>36</v>
      </c>
      <c r="K6" s="107">
        <v>7</v>
      </c>
      <c r="L6" s="107">
        <v>6</v>
      </c>
      <c r="M6" s="2"/>
      <c r="N6" s="61" t="s">
        <v>2</v>
      </c>
      <c r="O6" s="35" t="s">
        <v>657</v>
      </c>
      <c r="P6" s="36"/>
      <c r="Q6" s="37"/>
      <c r="R6" s="37"/>
      <c r="S6" s="37"/>
      <c r="T6" s="37"/>
      <c r="U6" s="37"/>
      <c r="V6" s="37"/>
      <c r="W6" s="37"/>
      <c r="X6" s="37"/>
      <c r="Y6" s="38"/>
    </row>
    <row r="7" spans="1:25">
      <c r="B7" s="17" t="s">
        <v>118</v>
      </c>
      <c r="C7" s="107">
        <v>5</v>
      </c>
      <c r="D7" s="107">
        <v>5</v>
      </c>
      <c r="E7" s="107">
        <v>2</v>
      </c>
      <c r="F7" s="107">
        <v>1</v>
      </c>
      <c r="G7" s="91"/>
      <c r="H7" s="91"/>
      <c r="I7" s="91"/>
      <c r="J7" s="91"/>
      <c r="K7" s="91"/>
      <c r="L7" s="92"/>
      <c r="M7" s="2"/>
      <c r="Y7" s="2"/>
    </row>
    <row r="8" spans="1:25">
      <c r="I8" s="4"/>
      <c r="J8" s="4"/>
      <c r="K8" s="4"/>
      <c r="L8" s="4"/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11"/>
      <c r="X8" s="39"/>
      <c r="Y8" s="40"/>
    </row>
    <row r="9" spans="1:25">
      <c r="B9" s="90" t="s">
        <v>35</v>
      </c>
      <c r="C9" s="9"/>
      <c r="D9" s="52" t="s">
        <v>268</v>
      </c>
      <c r="E9" s="53"/>
      <c r="F9" s="53"/>
      <c r="G9" s="84" t="s">
        <v>269</v>
      </c>
      <c r="H9" s="85"/>
      <c r="I9" s="86"/>
      <c r="J9" s="54" t="s">
        <v>220</v>
      </c>
      <c r="K9" s="55"/>
      <c r="L9" s="56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566</v>
      </c>
      <c r="X9" s="96" t="s">
        <v>31</v>
      </c>
      <c r="Y9" s="43"/>
    </row>
    <row r="10" spans="1:25">
      <c r="B10" s="57"/>
      <c r="C10" s="2"/>
      <c r="D10" s="2"/>
      <c r="E10" s="2"/>
      <c r="F10" s="13"/>
      <c r="G10" s="13"/>
      <c r="H10" s="13"/>
      <c r="I10" s="2"/>
      <c r="J10" s="2"/>
      <c r="K10" s="2"/>
      <c r="L10" s="2"/>
      <c r="M10" s="2"/>
      <c r="N10" s="49" t="s">
        <v>686</v>
      </c>
      <c r="O10" s="160">
        <v>37916</v>
      </c>
      <c r="P10" s="4" t="s">
        <v>791</v>
      </c>
      <c r="Q10" s="13"/>
      <c r="R10" s="13"/>
      <c r="S10" s="13"/>
      <c r="T10" s="13"/>
      <c r="U10" s="13"/>
      <c r="V10" s="161"/>
      <c r="W10" s="47" t="s">
        <v>681</v>
      </c>
      <c r="X10" s="21" t="s">
        <v>93</v>
      </c>
      <c r="Y10" s="48"/>
    </row>
    <row r="11" spans="1: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49" t="s">
        <v>691</v>
      </c>
      <c r="O11" s="160">
        <v>38289</v>
      </c>
      <c r="P11" s="4" t="s">
        <v>792</v>
      </c>
      <c r="Q11" s="13">
        <v>5</v>
      </c>
      <c r="R11" s="13">
        <v>0</v>
      </c>
      <c r="S11" s="13">
        <v>1</v>
      </c>
      <c r="T11" s="13">
        <v>0</v>
      </c>
      <c r="U11" s="13">
        <v>8</v>
      </c>
      <c r="V11" s="161">
        <f>PRODUCT(8/19)</f>
        <v>0.42105263157894735</v>
      </c>
      <c r="W11" s="47" t="s">
        <v>681</v>
      </c>
      <c r="X11" s="21" t="s">
        <v>93</v>
      </c>
      <c r="Y11" s="48"/>
    </row>
    <row r="12" spans="1: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9" t="s">
        <v>550</v>
      </c>
      <c r="O12" s="50">
        <v>34384</v>
      </c>
      <c r="P12" s="4" t="s">
        <v>551</v>
      </c>
      <c r="Q12" s="13"/>
      <c r="R12" s="13"/>
      <c r="S12" s="13"/>
      <c r="T12" s="13"/>
      <c r="U12" s="13"/>
      <c r="V12" s="161"/>
      <c r="W12" s="47" t="s">
        <v>681</v>
      </c>
      <c r="X12" s="21" t="s">
        <v>328</v>
      </c>
      <c r="Y12" s="48"/>
    </row>
    <row r="13" spans="1: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9" t="s">
        <v>684</v>
      </c>
      <c r="O13" s="160">
        <v>36932</v>
      </c>
      <c r="P13" s="4" t="s">
        <v>552</v>
      </c>
      <c r="Q13" s="13">
        <v>51</v>
      </c>
      <c r="R13" s="13">
        <v>0</v>
      </c>
      <c r="S13" s="13">
        <v>32</v>
      </c>
      <c r="T13" s="13">
        <v>8</v>
      </c>
      <c r="U13" s="13">
        <v>119</v>
      </c>
      <c r="V13" s="161">
        <f>PRODUCT(119/248)</f>
        <v>0.47983870967741937</v>
      </c>
      <c r="W13" s="47" t="s">
        <v>681</v>
      </c>
      <c r="X13" s="21" t="s">
        <v>32</v>
      </c>
      <c r="Y13" s="48"/>
    </row>
    <row r="14" spans="1:25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9" t="s">
        <v>690</v>
      </c>
      <c r="O14" s="160">
        <v>38384</v>
      </c>
      <c r="P14" s="4" t="s">
        <v>552</v>
      </c>
      <c r="Q14" s="13"/>
      <c r="R14" s="13"/>
      <c r="S14" s="13"/>
      <c r="T14" s="13"/>
      <c r="U14" s="13"/>
      <c r="V14" s="161"/>
      <c r="W14" s="47" t="s">
        <v>681</v>
      </c>
      <c r="X14" s="21" t="s">
        <v>32</v>
      </c>
      <c r="Y14" s="48"/>
    </row>
    <row r="15" spans="1:25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9" t="s">
        <v>685</v>
      </c>
      <c r="O15" s="160">
        <v>37828</v>
      </c>
      <c r="P15" s="4" t="s">
        <v>127</v>
      </c>
      <c r="Q15" s="13">
        <v>42</v>
      </c>
      <c r="R15" s="13">
        <v>1</v>
      </c>
      <c r="S15" s="13">
        <v>5</v>
      </c>
      <c r="T15" s="13">
        <v>45</v>
      </c>
      <c r="U15" s="13">
        <v>184</v>
      </c>
      <c r="V15" s="161">
        <f>PRODUCT(184/280)</f>
        <v>0.65714285714285714</v>
      </c>
      <c r="W15" s="47" t="s">
        <v>795</v>
      </c>
      <c r="X15" s="21" t="s">
        <v>128</v>
      </c>
      <c r="Y15" s="48"/>
    </row>
    <row r="16" spans="1:25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9" t="s">
        <v>683</v>
      </c>
      <c r="O16" s="160">
        <v>39253</v>
      </c>
      <c r="P16" s="4" t="s">
        <v>555</v>
      </c>
      <c r="Q16" s="13"/>
      <c r="R16" s="13"/>
      <c r="S16" s="13"/>
      <c r="T16" s="13"/>
      <c r="U16" s="13"/>
      <c r="V16" s="161"/>
      <c r="W16" s="47" t="s">
        <v>795</v>
      </c>
      <c r="X16" s="21" t="s">
        <v>795</v>
      </c>
      <c r="Y16" s="48"/>
    </row>
    <row r="17" spans="1:2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9" t="s">
        <v>553</v>
      </c>
      <c r="O17" s="50">
        <v>37991</v>
      </c>
      <c r="P17" s="4" t="s">
        <v>551</v>
      </c>
      <c r="Q17" s="13">
        <v>25</v>
      </c>
      <c r="R17" s="13">
        <v>0</v>
      </c>
      <c r="S17" s="13">
        <v>7</v>
      </c>
      <c r="T17" s="13">
        <v>13</v>
      </c>
      <c r="U17" s="13">
        <v>86</v>
      </c>
      <c r="V17" s="161">
        <f>PRODUCT(86/153)</f>
        <v>0.56209150326797386</v>
      </c>
      <c r="W17" s="47" t="s">
        <v>681</v>
      </c>
      <c r="X17" s="21" t="s">
        <v>32</v>
      </c>
      <c r="Y17" s="48"/>
    </row>
    <row r="18" spans="1:2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9" t="s">
        <v>554</v>
      </c>
      <c r="O18" s="50">
        <v>38142</v>
      </c>
      <c r="P18" s="4" t="s">
        <v>793</v>
      </c>
      <c r="Q18" s="13">
        <v>16</v>
      </c>
      <c r="R18" s="13">
        <v>2</v>
      </c>
      <c r="S18" s="13">
        <v>2</v>
      </c>
      <c r="T18" s="13">
        <v>7</v>
      </c>
      <c r="U18" s="13">
        <v>31</v>
      </c>
      <c r="V18" s="161">
        <f>PRODUCT(31/71)</f>
        <v>0.43661971830985913</v>
      </c>
      <c r="W18" s="47" t="s">
        <v>681</v>
      </c>
      <c r="X18" s="21" t="s">
        <v>93</v>
      </c>
      <c r="Y18" s="48"/>
    </row>
    <row r="19" spans="1:2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36" t="s">
        <v>682</v>
      </c>
      <c r="O19" s="50">
        <v>36594</v>
      </c>
      <c r="P19" s="4" t="s">
        <v>796</v>
      </c>
      <c r="Q19" s="13">
        <v>49</v>
      </c>
      <c r="R19" s="13">
        <v>3</v>
      </c>
      <c r="S19" s="13">
        <v>25</v>
      </c>
      <c r="T19" s="13">
        <v>33</v>
      </c>
      <c r="U19" s="13">
        <v>194</v>
      </c>
      <c r="V19" s="161">
        <f>PRODUCT(194/336)</f>
        <v>0.57738095238095233</v>
      </c>
      <c r="W19" s="47" t="s">
        <v>81</v>
      </c>
      <c r="X19" s="21" t="s">
        <v>25</v>
      </c>
      <c r="Y19" s="48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136" t="s">
        <v>556</v>
      </c>
      <c r="O20" s="50">
        <v>38041</v>
      </c>
      <c r="P20" s="4" t="s">
        <v>794</v>
      </c>
      <c r="Q20" s="13"/>
      <c r="R20" s="13"/>
      <c r="S20" s="13"/>
      <c r="T20" s="13"/>
      <c r="U20" s="13"/>
      <c r="V20" s="161"/>
      <c r="W20" s="47" t="s">
        <v>681</v>
      </c>
      <c r="X20" s="21" t="s">
        <v>93</v>
      </c>
      <c r="Y20" s="48"/>
    </row>
    <row r="21" spans="1:25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136" t="s">
        <v>689</v>
      </c>
      <c r="O21" s="50">
        <v>39539</v>
      </c>
      <c r="P21" s="4" t="s">
        <v>555</v>
      </c>
      <c r="Q21" s="13"/>
      <c r="R21" s="13"/>
      <c r="S21" s="13"/>
      <c r="T21" s="13"/>
      <c r="U21" s="13"/>
      <c r="V21" s="161"/>
      <c r="W21" s="47" t="s">
        <v>795</v>
      </c>
      <c r="X21" s="21" t="s">
        <v>795</v>
      </c>
      <c r="Y21" s="48"/>
    </row>
    <row r="22" spans="1:25">
      <c r="A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136" t="s">
        <v>688</v>
      </c>
      <c r="O22" s="50">
        <v>38953</v>
      </c>
      <c r="P22" s="4" t="s">
        <v>555</v>
      </c>
      <c r="Q22" s="13"/>
      <c r="R22" s="13"/>
      <c r="S22" s="13"/>
      <c r="T22" s="13"/>
      <c r="U22" s="13"/>
      <c r="V22" s="161"/>
      <c r="W22" s="47" t="s">
        <v>795</v>
      </c>
      <c r="X22" s="21" t="s">
        <v>32</v>
      </c>
      <c r="Y22" s="48"/>
    </row>
    <row r="23" spans="1:2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136" t="s">
        <v>692</v>
      </c>
      <c r="O23" s="50">
        <v>37877</v>
      </c>
      <c r="P23" s="4" t="s">
        <v>787</v>
      </c>
      <c r="Q23" s="13">
        <v>60</v>
      </c>
      <c r="R23" s="13">
        <v>5</v>
      </c>
      <c r="S23" s="13">
        <v>62</v>
      </c>
      <c r="T23" s="13">
        <v>19</v>
      </c>
      <c r="U23" s="13">
        <v>169</v>
      </c>
      <c r="V23" s="161">
        <f>PRODUCT(169/329)</f>
        <v>0.51367781155015202</v>
      </c>
      <c r="W23" s="47" t="s">
        <v>81</v>
      </c>
      <c r="X23" s="21" t="s">
        <v>81</v>
      </c>
      <c r="Y23" s="48"/>
    </row>
    <row r="24" spans="1:25">
      <c r="A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136" t="s">
        <v>687</v>
      </c>
      <c r="O24" s="50">
        <v>38057</v>
      </c>
      <c r="P24" s="4" t="s">
        <v>552</v>
      </c>
      <c r="Q24" s="13">
        <v>20</v>
      </c>
      <c r="R24" s="13">
        <v>1</v>
      </c>
      <c r="S24" s="13">
        <v>15</v>
      </c>
      <c r="T24" s="13">
        <v>9</v>
      </c>
      <c r="U24" s="13">
        <v>59</v>
      </c>
      <c r="V24" s="162">
        <f>PRODUCT(59/116)</f>
        <v>0.50862068965517238</v>
      </c>
      <c r="W24" s="66" t="s">
        <v>681</v>
      </c>
      <c r="X24" s="21" t="s">
        <v>93</v>
      </c>
      <c r="Y24" s="48"/>
    </row>
    <row r="25" spans="1:25">
      <c r="A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4"/>
      <c r="O25" s="11"/>
      <c r="P25" s="31"/>
      <c r="Q25" s="60"/>
      <c r="R25" s="60"/>
      <c r="S25" s="60"/>
      <c r="T25" s="60"/>
      <c r="U25" s="60"/>
      <c r="V25" s="60"/>
      <c r="W25" s="68"/>
      <c r="X25" s="69"/>
      <c r="Y25" s="30"/>
    </row>
    <row r="26" spans="1:25">
      <c r="A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2" t="s">
        <v>221</v>
      </c>
      <c r="O26" s="11"/>
      <c r="P26" s="31"/>
      <c r="Q26" s="11"/>
      <c r="R26" s="11"/>
      <c r="S26" s="11"/>
      <c r="T26" s="11"/>
      <c r="U26" s="11"/>
      <c r="V26" s="11"/>
      <c r="W26" s="11"/>
      <c r="X26" s="70"/>
      <c r="Y26" s="40"/>
    </row>
    <row r="27" spans="1:25" ht="14.25">
      <c r="A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4" t="s">
        <v>5</v>
      </c>
      <c r="O27" s="41" t="s">
        <v>0</v>
      </c>
      <c r="P27" s="3" t="s">
        <v>3</v>
      </c>
      <c r="Q27" s="6" t="s">
        <v>13</v>
      </c>
      <c r="R27" s="6" t="s">
        <v>14</v>
      </c>
      <c r="S27" s="6" t="s">
        <v>15</v>
      </c>
      <c r="T27" s="6" t="s">
        <v>16</v>
      </c>
      <c r="U27" s="6" t="s">
        <v>17</v>
      </c>
      <c r="V27" s="42" t="s">
        <v>18</v>
      </c>
      <c r="W27" s="71" t="s">
        <v>222</v>
      </c>
      <c r="X27" s="19" t="s">
        <v>223</v>
      </c>
      <c r="Y27" s="33"/>
    </row>
    <row r="28" spans="1:25">
      <c r="A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9" t="s">
        <v>685</v>
      </c>
      <c r="O28" s="160">
        <v>37828</v>
      </c>
      <c r="P28" s="4" t="s">
        <v>127</v>
      </c>
      <c r="Q28" s="13">
        <v>30</v>
      </c>
      <c r="R28" s="13">
        <v>0</v>
      </c>
      <c r="S28" s="13">
        <v>4</v>
      </c>
      <c r="T28" s="13">
        <v>18</v>
      </c>
      <c r="U28" s="13">
        <v>50</v>
      </c>
      <c r="V28" s="46">
        <v>0.442</v>
      </c>
      <c r="W28" s="72">
        <v>60.3</v>
      </c>
      <c r="X28" s="156" t="s">
        <v>795</v>
      </c>
      <c r="Y28" s="48"/>
    </row>
    <row r="29" spans="1:25" ht="14.25">
      <c r="A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4"/>
      <c r="O29" s="11"/>
      <c r="P29" s="24"/>
      <c r="Q29" s="11"/>
      <c r="R29" s="11"/>
      <c r="S29" s="11"/>
      <c r="T29" s="11"/>
      <c r="U29" s="11"/>
      <c r="V29" s="11"/>
      <c r="W29" s="11"/>
      <c r="X29" s="24"/>
      <c r="Y29" s="24"/>
    </row>
    <row r="30" spans="1:25" ht="14.25">
      <c r="A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P30" s="2"/>
      <c r="X30" s="2"/>
      <c r="Y30" s="2"/>
    </row>
    <row r="31" spans="1:25" ht="14.25">
      <c r="A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P31" s="2"/>
      <c r="X31" s="2"/>
      <c r="Y31" s="2"/>
    </row>
    <row r="32" spans="1:25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P32" s="2"/>
      <c r="X32" s="2"/>
      <c r="Y32" s="2"/>
    </row>
    <row r="33" spans="3:2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P33" s="2"/>
      <c r="X33" s="2"/>
      <c r="Y33" s="2"/>
    </row>
    <row r="34" spans="3:2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P34" s="2"/>
      <c r="X34" s="2"/>
      <c r="Y34" s="2"/>
    </row>
    <row r="35" spans="3:2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P35" s="2"/>
      <c r="X35" s="2"/>
      <c r="Y35" s="2"/>
    </row>
    <row r="36" spans="3:2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P36" s="2"/>
      <c r="X36" s="2"/>
      <c r="Y36" s="2"/>
    </row>
    <row r="37" spans="3:2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P37" s="2"/>
      <c r="X37" s="2"/>
      <c r="Y37" s="2"/>
    </row>
    <row r="38" spans="3:2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P38" s="2"/>
      <c r="X38" s="2"/>
      <c r="Y38" s="2"/>
    </row>
    <row r="39" spans="3: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2"/>
      <c r="X39" s="2"/>
      <c r="Y39" s="2"/>
    </row>
    <row r="40" spans="3: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"/>
      <c r="X40" s="2"/>
      <c r="Y40" s="2"/>
    </row>
    <row r="41" spans="3: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P41" s="2"/>
      <c r="X41" s="2"/>
      <c r="Y41" s="2"/>
    </row>
    <row r="42" spans="3: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X42" s="2"/>
      <c r="Y42" s="2"/>
    </row>
    <row r="43" spans="3: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X43" s="2"/>
      <c r="Y43" s="2"/>
    </row>
    <row r="44" spans="3: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P44" s="2"/>
      <c r="X44" s="2"/>
      <c r="Y44" s="2"/>
    </row>
    <row r="45" spans="3: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P45" s="2"/>
      <c r="X45" s="2"/>
      <c r="Y45" s="2"/>
    </row>
    <row r="46" spans="3: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P46" s="2"/>
      <c r="X46" s="2"/>
      <c r="Y46" s="2"/>
    </row>
    <row r="47" spans="3: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P47" s="2"/>
      <c r="X47" s="2"/>
      <c r="Y47" s="2"/>
    </row>
    <row r="48" spans="3: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P48" s="2"/>
      <c r="X48" s="2"/>
      <c r="Y48" s="2"/>
    </row>
    <row r="49" spans="3: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P49" s="2"/>
      <c r="X49" s="2"/>
      <c r="Y49" s="2"/>
    </row>
    <row r="50" spans="3: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P50" s="2"/>
      <c r="X50" s="2"/>
      <c r="Y50" s="2"/>
    </row>
    <row r="51" spans="3: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P51" s="2"/>
      <c r="X51" s="2"/>
      <c r="Y51" s="2"/>
    </row>
    <row r="52" spans="3:2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3:2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3:2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3:2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P55" s="2"/>
      <c r="X55" s="2"/>
      <c r="Y55" s="2"/>
    </row>
    <row r="56" spans="3:2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P56" s="2"/>
      <c r="X56" s="2"/>
      <c r="Y56" s="2"/>
    </row>
    <row r="57" spans="3:2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P57" s="2"/>
      <c r="X57" s="2"/>
      <c r="Y57" s="2"/>
    </row>
    <row r="58" spans="3:2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P58" s="2"/>
      <c r="X58" s="2"/>
      <c r="Y58" s="2"/>
    </row>
    <row r="59" spans="3:25">
      <c r="P59" s="2"/>
      <c r="X59" s="2"/>
      <c r="Y59" s="2"/>
    </row>
    <row r="60" spans="3:25">
      <c r="P60" s="2"/>
      <c r="X60" s="2"/>
      <c r="Y60" s="2"/>
    </row>
    <row r="61" spans="3:25">
      <c r="P61" s="2"/>
      <c r="X61" s="2"/>
      <c r="Y61" s="2"/>
    </row>
    <row r="62" spans="3:25">
      <c r="P62" s="2"/>
      <c r="X62" s="2"/>
      <c r="Y62" s="2"/>
    </row>
    <row r="63" spans="3:25">
      <c r="P63" s="2"/>
      <c r="X63" s="2"/>
      <c r="Y63" s="2"/>
    </row>
  </sheetData>
  <sortState xmlns:xlrd2="http://schemas.microsoft.com/office/spreadsheetml/2017/richdata2" ref="N19:O20">
    <sortCondition descending="1" ref="N19:N2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60"/>
  <sheetViews>
    <sheetView zoomScale="93" zoomScaleNormal="93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0.5703125" style="2" customWidth="1"/>
    <col min="15" max="15" width="13.140625" style="6" customWidth="1"/>
    <col min="16" max="16" width="12.85546875" style="3" bestFit="1" customWidth="1"/>
    <col min="17" max="21" width="6.7109375" style="6" customWidth="1"/>
    <col min="22" max="22" width="9.140625" style="6" customWidth="1"/>
    <col min="23" max="23" width="12.42578125" style="6" bestFit="1" customWidth="1"/>
    <col min="24" max="24" width="11" style="6" customWidth="1"/>
    <col min="25" max="25" width="23.42578125" style="22" bestFit="1" customWidth="1"/>
    <col min="26" max="16384" width="9.140625" style="1"/>
  </cols>
  <sheetData>
    <row r="1" spans="1:25" ht="18.75">
      <c r="A1" s="21"/>
      <c r="B1" s="28" t="s">
        <v>20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"/>
      <c r="N1" s="19"/>
      <c r="Q1" s="13"/>
      <c r="R1" s="13"/>
      <c r="S1" s="13"/>
      <c r="T1" s="13"/>
      <c r="U1" s="13"/>
      <c r="V1" s="13"/>
      <c r="W1" s="13"/>
      <c r="X1" s="13"/>
      <c r="Y1" s="21"/>
    </row>
    <row r="2" spans="1:25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73" t="s">
        <v>4</v>
      </c>
      <c r="O2" s="30" t="s">
        <v>23</v>
      </c>
      <c r="P2" s="31"/>
      <c r="Q2" s="11"/>
      <c r="R2" s="11"/>
      <c r="S2" s="11"/>
      <c r="T2" s="11"/>
      <c r="U2" s="11"/>
      <c r="V2" s="11"/>
      <c r="W2" s="11"/>
      <c r="X2" s="11"/>
      <c r="Y2" s="25"/>
    </row>
    <row r="3" spans="1:25">
      <c r="B3" s="104" t="s">
        <v>39</v>
      </c>
      <c r="C3" s="106" t="s">
        <v>36</v>
      </c>
      <c r="D3" s="106" t="s">
        <v>36</v>
      </c>
      <c r="E3" s="106" t="s">
        <v>36</v>
      </c>
      <c r="F3" s="106" t="s">
        <v>36</v>
      </c>
      <c r="G3" s="106" t="s">
        <v>36</v>
      </c>
      <c r="H3" s="106" t="s">
        <v>36</v>
      </c>
      <c r="I3" s="106" t="s">
        <v>36</v>
      </c>
      <c r="J3" s="106">
        <v>8</v>
      </c>
      <c r="K3" s="106">
        <v>7</v>
      </c>
      <c r="L3" s="106">
        <v>9</v>
      </c>
      <c r="M3" s="2"/>
      <c r="N3" s="59" t="s">
        <v>116</v>
      </c>
      <c r="O3" s="20" t="s">
        <v>648</v>
      </c>
      <c r="Y3" s="33"/>
    </row>
    <row r="4" spans="1:25">
      <c r="B4" s="104" t="s">
        <v>40</v>
      </c>
      <c r="C4" s="106">
        <v>6</v>
      </c>
      <c r="D4" s="106">
        <v>6</v>
      </c>
      <c r="E4" s="106">
        <v>7</v>
      </c>
      <c r="F4" s="106">
        <v>7</v>
      </c>
      <c r="G4" s="106">
        <v>9</v>
      </c>
      <c r="H4" s="106" t="s">
        <v>36</v>
      </c>
      <c r="I4" s="106" t="s">
        <v>36</v>
      </c>
      <c r="J4" s="106" t="s">
        <v>36</v>
      </c>
      <c r="K4" s="106" t="s">
        <v>36</v>
      </c>
      <c r="L4" s="106" t="s">
        <v>36</v>
      </c>
      <c r="M4" s="2"/>
      <c r="N4" s="59" t="s">
        <v>115</v>
      </c>
      <c r="O4" s="5" t="s">
        <v>309</v>
      </c>
      <c r="Y4" s="33"/>
    </row>
    <row r="5" spans="1:25">
      <c r="B5" s="104" t="s">
        <v>41</v>
      </c>
      <c r="C5" s="106" t="s">
        <v>36</v>
      </c>
      <c r="D5" s="106" t="s">
        <v>36</v>
      </c>
      <c r="E5" s="106" t="s">
        <v>36</v>
      </c>
      <c r="F5" s="106" t="s">
        <v>36</v>
      </c>
      <c r="G5" s="106" t="s">
        <v>36</v>
      </c>
      <c r="H5" s="106" t="s">
        <v>36</v>
      </c>
      <c r="I5" s="106" t="s">
        <v>36</v>
      </c>
      <c r="J5" s="106" t="s">
        <v>36</v>
      </c>
      <c r="K5" s="106" t="s">
        <v>36</v>
      </c>
      <c r="L5" s="109" t="s">
        <v>36</v>
      </c>
      <c r="M5" s="2"/>
      <c r="N5" s="49" t="s">
        <v>1</v>
      </c>
      <c r="O5" s="4" t="s">
        <v>313</v>
      </c>
      <c r="Y5" s="33"/>
    </row>
    <row r="6" spans="1:25">
      <c r="B6" s="104" t="s">
        <v>42</v>
      </c>
      <c r="C6" s="109" t="s">
        <v>36</v>
      </c>
      <c r="D6" s="106">
        <v>9</v>
      </c>
      <c r="E6" s="107">
        <v>3</v>
      </c>
      <c r="F6" s="112" t="s">
        <v>47</v>
      </c>
      <c r="G6" s="112" t="s">
        <v>46</v>
      </c>
      <c r="H6" s="108">
        <v>7</v>
      </c>
      <c r="I6" s="108">
        <v>4</v>
      </c>
      <c r="J6" s="108">
        <v>4</v>
      </c>
      <c r="K6" s="108">
        <v>5</v>
      </c>
      <c r="L6" s="108">
        <v>5</v>
      </c>
      <c r="M6" s="2"/>
      <c r="N6" s="61" t="s">
        <v>2</v>
      </c>
      <c r="O6" s="74" t="s">
        <v>117</v>
      </c>
      <c r="P6" s="36"/>
      <c r="Q6" s="37"/>
      <c r="R6" s="37"/>
      <c r="S6" s="37"/>
      <c r="T6" s="37"/>
      <c r="U6" s="37"/>
      <c r="V6" s="37"/>
      <c r="W6" s="37"/>
      <c r="X6" s="37"/>
      <c r="Y6" s="38"/>
    </row>
    <row r="7" spans="1:25">
      <c r="B7" s="104" t="s">
        <v>118</v>
      </c>
      <c r="C7" s="108">
        <v>10</v>
      </c>
      <c r="D7" s="108">
        <v>7</v>
      </c>
      <c r="E7" s="108">
        <v>5</v>
      </c>
      <c r="F7" s="108">
        <v>7</v>
      </c>
      <c r="G7" s="115"/>
      <c r="H7" s="116"/>
      <c r="I7" s="116"/>
      <c r="J7" s="116"/>
      <c r="K7" s="116"/>
      <c r="L7" s="114"/>
      <c r="M7" s="2"/>
      <c r="Y7" s="2"/>
    </row>
    <row r="8" spans="1:25">
      <c r="I8" s="4"/>
      <c r="J8" s="4"/>
      <c r="K8" s="4"/>
      <c r="L8" s="4"/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11"/>
      <c r="X8" s="39"/>
      <c r="Y8" s="40"/>
    </row>
    <row r="9" spans="1:25">
      <c r="B9" s="90" t="s">
        <v>35</v>
      </c>
      <c r="C9" s="9"/>
      <c r="D9" s="52" t="s">
        <v>268</v>
      </c>
      <c r="E9" s="53"/>
      <c r="F9" s="53"/>
      <c r="G9" s="84" t="s">
        <v>269</v>
      </c>
      <c r="H9" s="85"/>
      <c r="I9" s="86"/>
      <c r="J9" s="54" t="s">
        <v>220</v>
      </c>
      <c r="K9" s="55"/>
      <c r="L9" s="56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566</v>
      </c>
      <c r="X9" s="96" t="s">
        <v>31</v>
      </c>
      <c r="Y9" s="43"/>
    </row>
    <row r="10" spans="1:25">
      <c r="B10" s="57"/>
      <c r="C10" s="2"/>
      <c r="D10" s="2"/>
      <c r="E10" s="2"/>
      <c r="F10" s="13"/>
      <c r="G10" s="13"/>
      <c r="H10" s="13"/>
      <c r="I10" s="2"/>
      <c r="J10" s="2"/>
      <c r="K10" s="2"/>
      <c r="L10" s="2"/>
      <c r="M10" s="2"/>
      <c r="N10" s="44" t="s">
        <v>306</v>
      </c>
      <c r="O10" s="45">
        <v>37961</v>
      </c>
      <c r="P10" s="4" t="s">
        <v>88</v>
      </c>
      <c r="Q10" s="13">
        <v>24</v>
      </c>
      <c r="R10" s="13">
        <v>0</v>
      </c>
      <c r="S10" s="13">
        <v>39</v>
      </c>
      <c r="T10" s="13">
        <v>0</v>
      </c>
      <c r="U10" s="13">
        <v>65</v>
      </c>
      <c r="V10" s="140">
        <v>0.39900000000000002</v>
      </c>
      <c r="W10" s="47" t="s">
        <v>619</v>
      </c>
      <c r="X10" s="47" t="s">
        <v>89</v>
      </c>
      <c r="Y10" s="48"/>
    </row>
    <row r="11" spans="1:25">
      <c r="B11" s="57"/>
      <c r="C11" s="2"/>
      <c r="D11" s="2"/>
      <c r="E11" s="2"/>
      <c r="F11" s="13"/>
      <c r="G11" s="13"/>
      <c r="H11" s="13"/>
      <c r="I11" s="2"/>
      <c r="J11" s="2"/>
      <c r="K11" s="2"/>
      <c r="L11" s="2"/>
      <c r="M11" s="2"/>
      <c r="N11" s="44" t="s">
        <v>644</v>
      </c>
      <c r="O11" s="45">
        <v>37125</v>
      </c>
      <c r="P11" s="4" t="s">
        <v>652</v>
      </c>
      <c r="Q11" s="13">
        <v>12</v>
      </c>
      <c r="R11" s="13">
        <v>0</v>
      </c>
      <c r="S11" s="13">
        <v>12</v>
      </c>
      <c r="T11" s="13">
        <v>2</v>
      </c>
      <c r="U11" s="13">
        <v>22</v>
      </c>
      <c r="V11" s="140">
        <v>0.40699999999999997</v>
      </c>
      <c r="W11" s="47" t="s">
        <v>653</v>
      </c>
      <c r="X11" s="47" t="s">
        <v>374</v>
      </c>
      <c r="Y11" s="48"/>
    </row>
    <row r="12" spans="1:25">
      <c r="B12" s="57"/>
      <c r="C12" s="2"/>
      <c r="D12" s="2"/>
      <c r="E12" s="2"/>
      <c r="F12" s="13"/>
      <c r="G12" s="13"/>
      <c r="H12" s="13"/>
      <c r="I12" s="2"/>
      <c r="J12" s="2"/>
      <c r="K12" s="2"/>
      <c r="L12" s="2"/>
      <c r="M12" s="2"/>
      <c r="N12" s="44" t="s">
        <v>696</v>
      </c>
      <c r="O12" s="45">
        <v>38068</v>
      </c>
      <c r="P12" s="4" t="s">
        <v>108</v>
      </c>
      <c r="Q12" s="13">
        <v>36</v>
      </c>
      <c r="R12" s="13">
        <v>2</v>
      </c>
      <c r="S12" s="13">
        <v>8</v>
      </c>
      <c r="T12" s="13">
        <v>38</v>
      </c>
      <c r="U12" s="13">
        <v>106</v>
      </c>
      <c r="V12" s="140">
        <f>PRODUCT(106/197)</f>
        <v>0.53807106598984766</v>
      </c>
      <c r="W12" s="47" t="s">
        <v>619</v>
      </c>
      <c r="X12" s="47" t="s">
        <v>60</v>
      </c>
      <c r="Y12" s="48"/>
    </row>
    <row r="13" spans="1:25">
      <c r="B13" s="57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4" t="s">
        <v>121</v>
      </c>
      <c r="O13" s="45">
        <v>38044</v>
      </c>
      <c r="P13" s="4" t="s">
        <v>72</v>
      </c>
      <c r="Q13" s="13">
        <v>21</v>
      </c>
      <c r="R13" s="13">
        <v>0</v>
      </c>
      <c r="S13" s="13">
        <v>4</v>
      </c>
      <c r="T13" s="13">
        <v>4</v>
      </c>
      <c r="U13" s="13">
        <v>32</v>
      </c>
      <c r="V13" s="140">
        <v>0.438</v>
      </c>
      <c r="W13" s="47" t="s">
        <v>636</v>
      </c>
      <c r="X13" s="47" t="s">
        <v>208</v>
      </c>
      <c r="Y13" s="48"/>
    </row>
    <row r="14" spans="1:25">
      <c r="B14" s="57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4" t="s">
        <v>646</v>
      </c>
      <c r="O14" s="45">
        <v>35505</v>
      </c>
      <c r="P14" s="4" t="s">
        <v>649</v>
      </c>
      <c r="Q14" s="13">
        <v>47</v>
      </c>
      <c r="R14" s="13">
        <v>3</v>
      </c>
      <c r="S14" s="13">
        <v>40</v>
      </c>
      <c r="T14" s="13">
        <v>40</v>
      </c>
      <c r="U14" s="13">
        <v>176</v>
      </c>
      <c r="V14" s="140">
        <v>0.56591722185701976</v>
      </c>
      <c r="W14" s="47" t="s">
        <v>614</v>
      </c>
      <c r="X14" s="47" t="s">
        <v>650</v>
      </c>
      <c r="Y14" s="48"/>
    </row>
    <row r="15" spans="1:25">
      <c r="B15" s="57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4" t="s">
        <v>645</v>
      </c>
      <c r="O15" s="45">
        <v>38498</v>
      </c>
      <c r="P15" s="4" t="s">
        <v>240</v>
      </c>
      <c r="Q15" s="13"/>
      <c r="R15" s="13"/>
      <c r="S15" s="13"/>
      <c r="T15" s="13"/>
      <c r="U15" s="13"/>
      <c r="V15" s="140"/>
      <c r="W15" s="47" t="s">
        <v>653</v>
      </c>
      <c r="X15" s="47" t="s">
        <v>374</v>
      </c>
      <c r="Y15" s="48"/>
    </row>
    <row r="16" spans="1:25">
      <c r="B16" s="57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4" t="s">
        <v>695</v>
      </c>
      <c r="O16" s="45">
        <v>37533</v>
      </c>
      <c r="P16" s="4" t="s">
        <v>790</v>
      </c>
      <c r="Q16" s="13">
        <v>50</v>
      </c>
      <c r="R16" s="13">
        <v>0</v>
      </c>
      <c r="S16" s="13">
        <v>6</v>
      </c>
      <c r="T16" s="13">
        <v>56</v>
      </c>
      <c r="U16" s="13">
        <v>178</v>
      </c>
      <c r="V16" s="140">
        <f>PRODUCT(178/266)</f>
        <v>0.66917293233082709</v>
      </c>
      <c r="W16" s="47" t="s">
        <v>619</v>
      </c>
      <c r="X16" s="47" t="s">
        <v>59</v>
      </c>
      <c r="Y16" s="48"/>
    </row>
    <row r="17" spans="1:25">
      <c r="B17" s="57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4" t="s">
        <v>307</v>
      </c>
      <c r="O17" s="45">
        <v>36442</v>
      </c>
      <c r="P17" s="4" t="s">
        <v>10</v>
      </c>
      <c r="Q17" s="13">
        <v>44</v>
      </c>
      <c r="R17" s="13">
        <v>2</v>
      </c>
      <c r="S17" s="13">
        <v>62</v>
      </c>
      <c r="T17" s="13">
        <v>17</v>
      </c>
      <c r="U17" s="13">
        <v>152</v>
      </c>
      <c r="V17" s="140">
        <v>0.56299999999999994</v>
      </c>
      <c r="W17" s="47" t="s">
        <v>619</v>
      </c>
      <c r="X17" s="47" t="s">
        <v>55</v>
      </c>
      <c r="Y17" s="48"/>
    </row>
    <row r="18" spans="1:25">
      <c r="B18" s="57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4" t="s">
        <v>643</v>
      </c>
      <c r="O18" s="45">
        <v>37557</v>
      </c>
      <c r="P18" s="4" t="s">
        <v>654</v>
      </c>
      <c r="Q18" s="13">
        <v>71</v>
      </c>
      <c r="R18" s="13">
        <v>1</v>
      </c>
      <c r="S18" s="13">
        <v>10</v>
      </c>
      <c r="T18" s="13">
        <v>32</v>
      </c>
      <c r="U18" s="13">
        <v>190</v>
      </c>
      <c r="V18" s="140">
        <v>0.52200000000000002</v>
      </c>
      <c r="W18" s="47" t="s">
        <v>653</v>
      </c>
      <c r="X18" s="47" t="s">
        <v>616</v>
      </c>
      <c r="Y18" s="48"/>
    </row>
    <row r="19" spans="1:25">
      <c r="B19" s="57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4" t="s">
        <v>308</v>
      </c>
      <c r="O19" s="45">
        <v>38163</v>
      </c>
      <c r="P19" s="4" t="s">
        <v>10</v>
      </c>
      <c r="Q19" s="13">
        <v>26</v>
      </c>
      <c r="R19" s="13">
        <v>4</v>
      </c>
      <c r="S19" s="13">
        <v>3</v>
      </c>
      <c r="T19" s="13">
        <v>30</v>
      </c>
      <c r="U19" s="13">
        <v>117</v>
      </c>
      <c r="V19" s="140">
        <v>0.70099999999999996</v>
      </c>
      <c r="W19" s="47" t="s">
        <v>619</v>
      </c>
      <c r="X19" s="47" t="s">
        <v>55</v>
      </c>
      <c r="Y19" s="48"/>
    </row>
    <row r="20" spans="1:25">
      <c r="B20" s="57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4" t="s">
        <v>184</v>
      </c>
      <c r="O20" s="45">
        <v>36102</v>
      </c>
      <c r="P20" s="4" t="s">
        <v>75</v>
      </c>
      <c r="Q20" s="13">
        <v>103</v>
      </c>
      <c r="R20" s="13">
        <v>4</v>
      </c>
      <c r="S20" s="13">
        <v>75</v>
      </c>
      <c r="T20" s="13">
        <v>79</v>
      </c>
      <c r="U20" s="13">
        <v>380</v>
      </c>
      <c r="V20" s="140">
        <f>PRODUCT(380/651)</f>
        <v>0.58371735791090629</v>
      </c>
      <c r="W20" s="47" t="s">
        <v>320</v>
      </c>
      <c r="X20" s="47" t="s">
        <v>80</v>
      </c>
      <c r="Y20" s="48"/>
    </row>
    <row r="21" spans="1:25">
      <c r="B21" s="57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4" t="s">
        <v>309</v>
      </c>
      <c r="O21" s="45">
        <v>38066</v>
      </c>
      <c r="P21" s="4" t="s">
        <v>163</v>
      </c>
      <c r="Q21" s="13">
        <v>8</v>
      </c>
      <c r="R21" s="13">
        <v>0</v>
      </c>
      <c r="S21" s="13">
        <v>2</v>
      </c>
      <c r="T21" s="13">
        <v>0</v>
      </c>
      <c r="U21" s="13">
        <v>11</v>
      </c>
      <c r="V21" s="140">
        <v>0.34799999999999998</v>
      </c>
      <c r="W21" s="47" t="s">
        <v>641</v>
      </c>
      <c r="X21" s="47" t="s">
        <v>164</v>
      </c>
      <c r="Y21" s="48"/>
    </row>
    <row r="22" spans="1:25">
      <c r="B22" s="57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4" t="s">
        <v>242</v>
      </c>
      <c r="O22" s="45">
        <v>38616</v>
      </c>
      <c r="P22" s="4" t="s">
        <v>70</v>
      </c>
      <c r="Q22" s="13">
        <v>21</v>
      </c>
      <c r="R22" s="13">
        <v>3</v>
      </c>
      <c r="S22" s="13">
        <v>11</v>
      </c>
      <c r="T22" s="13">
        <v>19</v>
      </c>
      <c r="U22" s="13">
        <v>88</v>
      </c>
      <c r="V22" s="140">
        <f>PRODUCT(88/156)</f>
        <v>0.5641025641025641</v>
      </c>
      <c r="W22" s="47" t="s">
        <v>628</v>
      </c>
      <c r="X22" s="47" t="s">
        <v>71</v>
      </c>
      <c r="Y22" s="48"/>
    </row>
    <row r="23" spans="1:25">
      <c r="A23" s="1"/>
      <c r="B23" s="57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4" t="s">
        <v>647</v>
      </c>
      <c r="O23" s="45">
        <v>38306</v>
      </c>
      <c r="P23" s="4" t="s">
        <v>10</v>
      </c>
      <c r="Q23" s="13">
        <v>42</v>
      </c>
      <c r="R23" s="13">
        <v>2</v>
      </c>
      <c r="S23" s="13">
        <v>14</v>
      </c>
      <c r="T23" s="13">
        <v>9</v>
      </c>
      <c r="U23" s="13">
        <v>89</v>
      </c>
      <c r="V23" s="140">
        <v>0.54900000000000004</v>
      </c>
      <c r="W23" s="47" t="s">
        <v>614</v>
      </c>
      <c r="X23" s="47" t="s">
        <v>55</v>
      </c>
      <c r="Y23" s="48"/>
    </row>
    <row r="24" spans="1:25">
      <c r="A24" s="1"/>
      <c r="B24" s="5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4"/>
      <c r="O24" s="11"/>
      <c r="P24" s="31"/>
      <c r="Q24" s="60"/>
      <c r="R24" s="60"/>
      <c r="S24" s="60"/>
      <c r="T24" s="60"/>
      <c r="U24" s="60"/>
      <c r="V24" s="60"/>
      <c r="W24" s="68"/>
      <c r="X24" s="69"/>
      <c r="Y24" s="30"/>
    </row>
    <row r="25" spans="1:25">
      <c r="A25" s="1"/>
      <c r="B25" s="57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12" t="s">
        <v>221</v>
      </c>
      <c r="O25" s="11"/>
      <c r="P25" s="31"/>
      <c r="Q25" s="11"/>
      <c r="R25" s="11"/>
      <c r="S25" s="11"/>
      <c r="T25" s="11"/>
      <c r="U25" s="11"/>
      <c r="V25" s="11"/>
      <c r="W25" s="11"/>
      <c r="X25" s="70"/>
      <c r="Y25" s="40"/>
    </row>
    <row r="26" spans="1:25">
      <c r="A26" s="1"/>
      <c r="B26" s="5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4" t="s">
        <v>5</v>
      </c>
      <c r="O26" s="41" t="s">
        <v>0</v>
      </c>
      <c r="P26" s="3" t="s">
        <v>3</v>
      </c>
      <c r="Q26" s="6" t="s">
        <v>13</v>
      </c>
      <c r="R26" s="6" t="s">
        <v>14</v>
      </c>
      <c r="S26" s="6" t="s">
        <v>15</v>
      </c>
      <c r="T26" s="6" t="s">
        <v>16</v>
      </c>
      <c r="U26" s="6" t="s">
        <v>17</v>
      </c>
      <c r="V26" s="42" t="s">
        <v>18</v>
      </c>
      <c r="W26" s="71" t="s">
        <v>222</v>
      </c>
      <c r="X26" s="2" t="s">
        <v>223</v>
      </c>
      <c r="Y26" s="33"/>
    </row>
    <row r="27" spans="1:25">
      <c r="A27" s="1"/>
      <c r="B27" s="57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4" t="s">
        <v>646</v>
      </c>
      <c r="O27" s="45">
        <v>35505</v>
      </c>
      <c r="P27" s="4" t="s">
        <v>649</v>
      </c>
      <c r="Q27" s="13">
        <v>25</v>
      </c>
      <c r="R27" s="13">
        <v>1</v>
      </c>
      <c r="S27" s="13">
        <v>6</v>
      </c>
      <c r="T27" s="13">
        <v>8</v>
      </c>
      <c r="U27" s="13">
        <v>47</v>
      </c>
      <c r="V27" s="46">
        <v>0.38500000000000001</v>
      </c>
      <c r="W27" s="72">
        <v>36.700000000000003</v>
      </c>
      <c r="X27" s="21" t="s">
        <v>651</v>
      </c>
      <c r="Y27" s="48"/>
    </row>
    <row r="28" spans="1:25">
      <c r="A28" s="1"/>
      <c r="B28" s="57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4" t="s">
        <v>184</v>
      </c>
      <c r="O28" s="45">
        <v>36102</v>
      </c>
      <c r="P28" s="4" t="s">
        <v>75</v>
      </c>
      <c r="Q28" s="13">
        <v>22</v>
      </c>
      <c r="R28" s="13">
        <v>0</v>
      </c>
      <c r="S28" s="13">
        <v>2</v>
      </c>
      <c r="T28" s="13">
        <v>3</v>
      </c>
      <c r="U28" s="13">
        <v>31</v>
      </c>
      <c r="V28" s="46">
        <v>0.30399999999999999</v>
      </c>
      <c r="W28" s="72">
        <v>22</v>
      </c>
      <c r="X28" s="21" t="s">
        <v>320</v>
      </c>
      <c r="Y28" s="48"/>
    </row>
    <row r="29" spans="1:25">
      <c r="A29" s="1"/>
      <c r="B29" s="57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4" t="s">
        <v>307</v>
      </c>
      <c r="O29" s="45">
        <v>36442</v>
      </c>
      <c r="P29" s="4" t="s">
        <v>10</v>
      </c>
      <c r="Q29" s="13">
        <v>15</v>
      </c>
      <c r="R29" s="13">
        <v>0</v>
      </c>
      <c r="S29" s="13">
        <v>6</v>
      </c>
      <c r="T29" s="13">
        <v>2</v>
      </c>
      <c r="U29" s="13">
        <v>20</v>
      </c>
      <c r="V29" s="46">
        <v>0.4</v>
      </c>
      <c r="W29" s="72">
        <v>17.7</v>
      </c>
      <c r="X29" s="21" t="s">
        <v>632</v>
      </c>
      <c r="Y29" s="48"/>
    </row>
    <row r="30" spans="1:25">
      <c r="A30" s="1"/>
      <c r="B30" s="57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4" t="s">
        <v>242</v>
      </c>
      <c r="O30" s="45">
        <v>38616</v>
      </c>
      <c r="P30" s="4" t="s">
        <v>70</v>
      </c>
      <c r="Q30" s="13">
        <v>4</v>
      </c>
      <c r="R30" s="13">
        <v>0</v>
      </c>
      <c r="S30" s="13">
        <v>0</v>
      </c>
      <c r="T30" s="13">
        <v>1</v>
      </c>
      <c r="U30" s="13">
        <v>6</v>
      </c>
      <c r="V30" s="46">
        <v>0.375</v>
      </c>
      <c r="W30" s="72">
        <v>4.3</v>
      </c>
      <c r="X30" s="21" t="s">
        <v>413</v>
      </c>
      <c r="Y30" s="48"/>
    </row>
    <row r="31" spans="1:25">
      <c r="A31" s="1"/>
      <c r="B31" s="57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9" t="s">
        <v>647</v>
      </c>
      <c r="O31" s="50">
        <v>38306</v>
      </c>
      <c r="P31" s="4" t="s">
        <v>10</v>
      </c>
      <c r="Q31" s="13">
        <v>1</v>
      </c>
      <c r="R31" s="13">
        <v>0</v>
      </c>
      <c r="S31" s="13">
        <v>0</v>
      </c>
      <c r="T31" s="13">
        <v>0</v>
      </c>
      <c r="U31" s="13">
        <v>0</v>
      </c>
      <c r="V31" s="46">
        <v>0</v>
      </c>
      <c r="W31" s="72">
        <v>0.3</v>
      </c>
      <c r="X31" s="21" t="s">
        <v>413</v>
      </c>
      <c r="Y31" s="48"/>
    </row>
    <row r="32" spans="1:25">
      <c r="A32" s="1"/>
      <c r="B32" s="57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4"/>
      <c r="O32" s="11"/>
      <c r="P32" s="24"/>
      <c r="Q32" s="11"/>
      <c r="R32" s="11"/>
      <c r="S32" s="11"/>
      <c r="T32" s="11"/>
      <c r="U32" s="11"/>
      <c r="V32" s="11"/>
      <c r="W32" s="11"/>
      <c r="X32" s="24"/>
      <c r="Y32" s="24"/>
    </row>
    <row r="33" spans="3:2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P33" s="2"/>
      <c r="X33" s="2"/>
      <c r="Y33" s="2"/>
    </row>
    <row r="34" spans="3:2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P34" s="2"/>
      <c r="X34" s="2"/>
      <c r="Y34" s="2"/>
    </row>
    <row r="35" spans="3:2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P35" s="2"/>
      <c r="X35" s="2"/>
      <c r="Y35" s="2"/>
    </row>
    <row r="36" spans="3:2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P36" s="2"/>
      <c r="X36" s="2"/>
      <c r="Y36" s="2"/>
    </row>
    <row r="37" spans="3:2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P37" s="2"/>
      <c r="X37" s="2"/>
      <c r="Y37" s="2"/>
    </row>
    <row r="38" spans="3:2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P38" s="2"/>
      <c r="X38" s="2"/>
      <c r="Y38" s="2"/>
    </row>
    <row r="39" spans="3: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2"/>
      <c r="X39" s="2"/>
      <c r="Y39" s="2"/>
    </row>
    <row r="40" spans="3: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"/>
      <c r="X40" s="2"/>
      <c r="Y40" s="2"/>
    </row>
    <row r="41" spans="3: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P41" s="2"/>
      <c r="X41" s="2"/>
      <c r="Y41" s="2"/>
    </row>
    <row r="42" spans="3: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X42" s="2"/>
      <c r="Y42" s="2"/>
    </row>
    <row r="43" spans="3: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X43" s="2"/>
      <c r="Y43" s="2"/>
    </row>
    <row r="44" spans="3: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P44" s="2"/>
      <c r="X44" s="2"/>
      <c r="Y44" s="2"/>
    </row>
    <row r="45" spans="3: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P45" s="2"/>
      <c r="X45" s="2"/>
      <c r="Y45" s="2"/>
    </row>
    <row r="46" spans="3: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P46" s="2"/>
      <c r="X46" s="2"/>
      <c r="Y46" s="2"/>
    </row>
    <row r="47" spans="3: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P47" s="2"/>
      <c r="X47" s="2"/>
      <c r="Y47" s="2"/>
    </row>
    <row r="48" spans="3: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P48" s="2"/>
      <c r="X48" s="2"/>
      <c r="Y48" s="2"/>
    </row>
    <row r="49" spans="3: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3: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3: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3:2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P52" s="2"/>
      <c r="X52" s="2"/>
      <c r="Y52" s="2"/>
    </row>
    <row r="53" spans="3:2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P53" s="2"/>
      <c r="X53" s="2"/>
      <c r="Y53" s="2"/>
    </row>
    <row r="54" spans="3:2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P54" s="2"/>
      <c r="X54" s="2"/>
      <c r="Y54" s="2"/>
    </row>
    <row r="55" spans="3:2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P55" s="2"/>
      <c r="X55" s="2"/>
      <c r="Y55" s="2"/>
    </row>
    <row r="56" spans="3:25">
      <c r="P56" s="2"/>
      <c r="X56" s="2"/>
      <c r="Y56" s="2"/>
    </row>
    <row r="57" spans="3:25">
      <c r="P57" s="2"/>
      <c r="X57" s="2"/>
      <c r="Y57" s="2"/>
    </row>
    <row r="58" spans="3:25">
      <c r="P58" s="2"/>
      <c r="X58" s="2"/>
      <c r="Y58" s="2"/>
    </row>
    <row r="59" spans="3:25">
      <c r="P59" s="2"/>
      <c r="X59" s="2"/>
      <c r="Y59" s="2"/>
    </row>
    <row r="60" spans="3:25">
      <c r="P60" s="2"/>
      <c r="X60" s="2"/>
      <c r="Y60" s="2"/>
    </row>
  </sheetData>
  <sortState xmlns:xlrd2="http://schemas.microsoft.com/office/spreadsheetml/2017/richdata2" ref="N29:Y31">
    <sortCondition descending="1" ref="N29:N31"/>
  </sortState>
  <conditionalFormatting sqref="O22:P22">
    <cfRule type="timePeriod" dxfId="1" priority="2" timePeriod="lastMonth">
      <formula>AND(MONTH(O22)=MONTH(EDATE(TODAY(),0-1)),YEAR(O22)=YEAR(EDATE(TODAY(),0-1)))</formula>
    </cfRule>
  </conditionalFormatting>
  <conditionalFormatting sqref="O30:P30">
    <cfRule type="timePeriod" dxfId="0" priority="1" timePeriod="lastMonth">
      <formula>AND(MONTH(O30)=MONTH(EDATE(TODAY(),0-1)),YEAR(O30)=YEAR(EDATE(TODAY(),0-1)))</formula>
    </cfRule>
  </conditionalFormatting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63"/>
  <sheetViews>
    <sheetView zoomScale="93" zoomScaleNormal="93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0.5703125" style="2" customWidth="1"/>
    <col min="15" max="15" width="13.140625" style="6" customWidth="1"/>
    <col min="16" max="16" width="12.85546875" style="3" bestFit="1" customWidth="1"/>
    <col min="17" max="21" width="6.7109375" style="6" customWidth="1"/>
    <col min="22" max="22" width="9.85546875" style="6" customWidth="1"/>
    <col min="23" max="23" width="12.7109375" style="6" customWidth="1"/>
    <col min="24" max="24" width="22.28515625" style="22" bestFit="1" customWidth="1"/>
    <col min="25" max="16384" width="9.140625" style="1"/>
  </cols>
  <sheetData>
    <row r="1" spans="1:24" ht="18.75">
      <c r="A1" s="21"/>
      <c r="B1" s="28" t="s">
        <v>28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"/>
      <c r="N1" s="19"/>
      <c r="Q1" s="13"/>
      <c r="R1" s="13"/>
      <c r="S1" s="13"/>
      <c r="T1" s="13"/>
      <c r="U1" s="13"/>
      <c r="V1" s="13"/>
      <c r="W1" s="13"/>
      <c r="X1" s="21"/>
    </row>
    <row r="2" spans="1:24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64</v>
      </c>
      <c r="P2" s="31"/>
      <c r="Q2" s="11"/>
      <c r="R2" s="11"/>
      <c r="S2" s="11"/>
      <c r="T2" s="11"/>
      <c r="U2" s="11"/>
      <c r="V2" s="11"/>
      <c r="W2" s="11"/>
      <c r="X2" s="25"/>
    </row>
    <row r="3" spans="1:24">
      <c r="B3" s="104" t="s">
        <v>37</v>
      </c>
      <c r="C3" s="106" t="s">
        <v>36</v>
      </c>
      <c r="D3" s="106" t="s">
        <v>36</v>
      </c>
      <c r="E3" s="106" t="s">
        <v>36</v>
      </c>
      <c r="F3" s="112" t="s">
        <v>49</v>
      </c>
      <c r="G3" s="112" t="s">
        <v>47</v>
      </c>
      <c r="H3" s="112" t="s">
        <v>47</v>
      </c>
      <c r="I3" s="112" t="s">
        <v>45</v>
      </c>
      <c r="J3" s="106" t="s">
        <v>36</v>
      </c>
      <c r="K3" s="106" t="s">
        <v>36</v>
      </c>
      <c r="L3" s="106" t="s">
        <v>36</v>
      </c>
      <c r="M3" s="2"/>
      <c r="N3" s="32" t="s">
        <v>116</v>
      </c>
      <c r="O3" s="5" t="s">
        <v>707</v>
      </c>
      <c r="X3" s="33"/>
    </row>
    <row r="4" spans="1:24">
      <c r="B4" s="104" t="s">
        <v>38</v>
      </c>
      <c r="C4" s="106" t="s">
        <v>36</v>
      </c>
      <c r="D4" s="106" t="s">
        <v>36</v>
      </c>
      <c r="E4" s="106" t="s">
        <v>36</v>
      </c>
      <c r="F4" s="106" t="s">
        <v>36</v>
      </c>
      <c r="G4" s="106" t="s">
        <v>36</v>
      </c>
      <c r="H4" s="106" t="s">
        <v>36</v>
      </c>
      <c r="I4" s="106" t="s">
        <v>36</v>
      </c>
      <c r="J4" s="106" t="s">
        <v>36</v>
      </c>
      <c r="K4" s="106" t="s">
        <v>36</v>
      </c>
      <c r="L4" s="112" t="s">
        <v>49</v>
      </c>
      <c r="M4" s="2"/>
      <c r="N4" s="32" t="s">
        <v>115</v>
      </c>
      <c r="O4" s="5" t="s">
        <v>708</v>
      </c>
      <c r="X4" s="33"/>
    </row>
    <row r="5" spans="1:24">
      <c r="B5" s="104" t="s">
        <v>39</v>
      </c>
      <c r="C5" s="112" t="s">
        <v>44</v>
      </c>
      <c r="D5" s="112" t="s">
        <v>47</v>
      </c>
      <c r="E5" s="112" t="s">
        <v>44</v>
      </c>
      <c r="F5" s="112" t="s">
        <v>46</v>
      </c>
      <c r="G5" s="112" t="s">
        <v>46</v>
      </c>
      <c r="H5" s="108">
        <v>6</v>
      </c>
      <c r="I5" s="112" t="s">
        <v>62</v>
      </c>
      <c r="J5" s="106" t="s">
        <v>36</v>
      </c>
      <c r="K5" s="106" t="s">
        <v>36</v>
      </c>
      <c r="L5" s="106" t="s">
        <v>36</v>
      </c>
      <c r="M5" s="2"/>
      <c r="N5" s="32" t="s">
        <v>1</v>
      </c>
      <c r="O5" s="21" t="s">
        <v>219</v>
      </c>
      <c r="X5" s="33"/>
    </row>
    <row r="6" spans="1:24">
      <c r="B6" s="104" t="s">
        <v>40</v>
      </c>
      <c r="C6" s="106" t="s">
        <v>36</v>
      </c>
      <c r="D6" s="106" t="s">
        <v>36</v>
      </c>
      <c r="E6" s="106" t="s">
        <v>36</v>
      </c>
      <c r="F6" s="106" t="s">
        <v>36</v>
      </c>
      <c r="G6" s="106" t="s">
        <v>36</v>
      </c>
      <c r="H6" s="106" t="s">
        <v>36</v>
      </c>
      <c r="I6" s="106" t="s">
        <v>36</v>
      </c>
      <c r="J6" s="106" t="s">
        <v>36</v>
      </c>
      <c r="K6" s="106" t="s">
        <v>36</v>
      </c>
      <c r="L6" s="106" t="s">
        <v>36</v>
      </c>
      <c r="M6" s="2"/>
      <c r="N6" s="34" t="s">
        <v>2</v>
      </c>
      <c r="O6" s="35" t="s">
        <v>65</v>
      </c>
      <c r="P6" s="36"/>
      <c r="Q6" s="37"/>
      <c r="R6" s="37"/>
      <c r="S6" s="37"/>
      <c r="T6" s="37"/>
      <c r="U6" s="37"/>
      <c r="V6" s="37"/>
      <c r="W6" s="37"/>
      <c r="X6" s="38"/>
    </row>
    <row r="7" spans="1:24">
      <c r="B7" s="104" t="s">
        <v>41</v>
      </c>
      <c r="C7" s="106">
        <v>3</v>
      </c>
      <c r="D7" s="106">
        <v>3</v>
      </c>
      <c r="E7" s="106">
        <v>4</v>
      </c>
      <c r="F7" s="106">
        <v>3</v>
      </c>
      <c r="G7" s="106">
        <v>4</v>
      </c>
      <c r="H7" s="106">
        <v>1</v>
      </c>
      <c r="I7" s="112" t="s">
        <v>63</v>
      </c>
      <c r="J7" s="106">
        <v>6</v>
      </c>
      <c r="K7" s="106" t="s">
        <v>36</v>
      </c>
      <c r="L7" s="106" t="s">
        <v>36</v>
      </c>
      <c r="M7" s="2"/>
      <c r="X7" s="2"/>
    </row>
    <row r="8" spans="1:24">
      <c r="B8" s="104" t="s">
        <v>42</v>
      </c>
      <c r="C8" s="106">
        <v>8</v>
      </c>
      <c r="D8" s="106">
        <v>7</v>
      </c>
      <c r="E8" s="106">
        <v>4</v>
      </c>
      <c r="F8" s="106">
        <v>3</v>
      </c>
      <c r="G8" s="106">
        <v>1</v>
      </c>
      <c r="H8" s="112" t="s">
        <v>49</v>
      </c>
      <c r="I8" s="112" t="s">
        <v>48</v>
      </c>
      <c r="J8" s="112" t="s">
        <v>43</v>
      </c>
      <c r="K8" s="108">
        <v>6</v>
      </c>
      <c r="L8" s="108">
        <v>15</v>
      </c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39"/>
      <c r="X8" s="40"/>
    </row>
    <row r="9" spans="1:24">
      <c r="B9" s="104" t="s">
        <v>118</v>
      </c>
      <c r="C9" s="108">
        <v>16</v>
      </c>
      <c r="D9" s="108">
        <v>16</v>
      </c>
      <c r="E9" s="108">
        <v>8</v>
      </c>
      <c r="F9" s="108">
        <v>3</v>
      </c>
      <c r="G9" s="91"/>
      <c r="H9" s="91"/>
      <c r="I9" s="91"/>
      <c r="J9" s="91"/>
      <c r="K9" s="91"/>
      <c r="L9" s="92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566</v>
      </c>
      <c r="X9" s="43" t="s">
        <v>31</v>
      </c>
    </row>
    <row r="10" spans="1:24">
      <c r="I10" s="4"/>
      <c r="J10" s="4"/>
      <c r="K10" s="4"/>
      <c r="L10" s="4"/>
      <c r="M10" s="2"/>
      <c r="N10" s="44" t="s">
        <v>699</v>
      </c>
      <c r="O10" s="45">
        <v>36533</v>
      </c>
      <c r="P10" s="4" t="s">
        <v>552</v>
      </c>
      <c r="Q10" s="13">
        <v>104</v>
      </c>
      <c r="R10" s="13">
        <v>0</v>
      </c>
      <c r="S10" s="13">
        <v>68</v>
      </c>
      <c r="T10" s="13">
        <v>28</v>
      </c>
      <c r="U10" s="13">
        <v>300</v>
      </c>
      <c r="V10" s="46">
        <f>PRODUCT(300/512)</f>
        <v>0.5859375</v>
      </c>
      <c r="W10" s="47" t="s">
        <v>626</v>
      </c>
      <c r="X10" s="48" t="s">
        <v>32</v>
      </c>
    </row>
    <row r="11" spans="1:24">
      <c r="B11" s="90" t="s">
        <v>35</v>
      </c>
      <c r="C11" s="9"/>
      <c r="D11" s="52" t="s">
        <v>268</v>
      </c>
      <c r="E11" s="53"/>
      <c r="F11" s="53"/>
      <c r="G11" s="84" t="s">
        <v>269</v>
      </c>
      <c r="H11" s="85"/>
      <c r="I11" s="86"/>
      <c r="J11" s="54" t="s">
        <v>220</v>
      </c>
      <c r="K11" s="55"/>
      <c r="L11" s="56"/>
      <c r="M11" s="2"/>
      <c r="N11" s="44" t="s">
        <v>33</v>
      </c>
      <c r="O11" s="45">
        <v>33461</v>
      </c>
      <c r="P11" s="4" t="s">
        <v>9</v>
      </c>
      <c r="Q11" s="13">
        <v>162</v>
      </c>
      <c r="R11" s="13">
        <v>15</v>
      </c>
      <c r="S11" s="13">
        <v>174</v>
      </c>
      <c r="T11" s="13">
        <v>77</v>
      </c>
      <c r="U11" s="13">
        <v>608</v>
      </c>
      <c r="V11" s="46">
        <f>PRODUCT(593/1126)</f>
        <v>0.52664298401420961</v>
      </c>
      <c r="W11" s="47" t="s">
        <v>697</v>
      </c>
      <c r="X11" s="48" t="s">
        <v>8</v>
      </c>
    </row>
    <row r="12" spans="1:24">
      <c r="B12" s="57"/>
      <c r="C12" s="2"/>
      <c r="D12" s="2"/>
      <c r="E12" s="2"/>
      <c r="F12" s="13"/>
      <c r="G12" s="13"/>
      <c r="H12" s="13"/>
      <c r="I12" s="2"/>
      <c r="J12" s="2"/>
      <c r="K12" s="2"/>
      <c r="L12" s="2"/>
      <c r="M12" s="2"/>
      <c r="N12" s="49" t="s">
        <v>705</v>
      </c>
      <c r="O12" s="50">
        <v>36074</v>
      </c>
      <c r="P12" s="4" t="s">
        <v>109</v>
      </c>
      <c r="Q12" s="13">
        <v>71</v>
      </c>
      <c r="R12" s="13">
        <v>2</v>
      </c>
      <c r="S12" s="13">
        <v>21</v>
      </c>
      <c r="T12" s="13">
        <v>61</v>
      </c>
      <c r="U12" s="13">
        <v>203</v>
      </c>
      <c r="V12" s="46">
        <f>PRODUCT(203/358)</f>
        <v>0.56703910614525144</v>
      </c>
      <c r="W12" s="47" t="s">
        <v>271</v>
      </c>
      <c r="X12" s="48" t="s">
        <v>161</v>
      </c>
    </row>
    <row r="13" spans="1:24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9" t="s">
        <v>144</v>
      </c>
      <c r="O13" s="50">
        <v>36390</v>
      </c>
      <c r="P13" s="4" t="s">
        <v>29</v>
      </c>
      <c r="Q13" s="13">
        <v>145</v>
      </c>
      <c r="R13" s="13">
        <v>1</v>
      </c>
      <c r="S13" s="13">
        <v>128</v>
      </c>
      <c r="T13" s="13">
        <v>47</v>
      </c>
      <c r="U13" s="13">
        <v>393</v>
      </c>
      <c r="V13" s="46">
        <f>PRODUCT(393/851)</f>
        <v>0.46180963572267919</v>
      </c>
      <c r="W13" s="47" t="s">
        <v>697</v>
      </c>
      <c r="X13" s="48" t="s">
        <v>28</v>
      </c>
    </row>
    <row r="14" spans="1:24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59" t="s">
        <v>781</v>
      </c>
      <c r="O14" s="50">
        <v>33663</v>
      </c>
      <c r="P14" s="4" t="s">
        <v>784</v>
      </c>
      <c r="Q14" s="13">
        <v>53</v>
      </c>
      <c r="R14" s="13">
        <v>3</v>
      </c>
      <c r="S14" s="13">
        <v>41</v>
      </c>
      <c r="T14" s="13">
        <v>64</v>
      </c>
      <c r="U14" s="13">
        <v>237</v>
      </c>
      <c r="V14" s="46">
        <f>PRODUCT(237/362)</f>
        <v>0.65469613259668513</v>
      </c>
      <c r="W14" s="47" t="s">
        <v>205</v>
      </c>
      <c r="X14" s="48" t="s">
        <v>86</v>
      </c>
    </row>
    <row r="15" spans="1:24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59" t="s">
        <v>324</v>
      </c>
      <c r="O15" s="50">
        <v>37257</v>
      </c>
      <c r="P15" s="4" t="s">
        <v>277</v>
      </c>
      <c r="Q15" s="13">
        <v>68</v>
      </c>
      <c r="R15" s="13">
        <v>0</v>
      </c>
      <c r="S15" s="13">
        <v>17</v>
      </c>
      <c r="T15" s="13">
        <v>5</v>
      </c>
      <c r="U15" s="13">
        <v>101</v>
      </c>
      <c r="V15" s="46">
        <f>PRODUCT(101/242)</f>
        <v>0.41735537190082644</v>
      </c>
      <c r="W15" s="47" t="s">
        <v>786</v>
      </c>
      <c r="X15" s="48" t="s">
        <v>207</v>
      </c>
    </row>
    <row r="16" spans="1:24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59" t="s">
        <v>302</v>
      </c>
      <c r="O16" s="50">
        <v>36961</v>
      </c>
      <c r="P16" s="4" t="s">
        <v>29</v>
      </c>
      <c r="Q16" s="13">
        <v>85</v>
      </c>
      <c r="R16" s="13">
        <v>4</v>
      </c>
      <c r="S16" s="13">
        <v>76</v>
      </c>
      <c r="T16" s="13">
        <v>39</v>
      </c>
      <c r="U16" s="13">
        <v>306</v>
      </c>
      <c r="V16" s="46">
        <f>PRODUCT(306/583)</f>
        <v>0.52487135506003435</v>
      </c>
      <c r="W16" s="47" t="s">
        <v>697</v>
      </c>
      <c r="X16" s="48" t="s">
        <v>28</v>
      </c>
    </row>
    <row r="17" spans="1:24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59" t="s">
        <v>706</v>
      </c>
      <c r="O17" s="50">
        <v>37448</v>
      </c>
      <c r="P17" s="4" t="s">
        <v>176</v>
      </c>
      <c r="Q17" s="13">
        <v>42</v>
      </c>
      <c r="R17" s="13">
        <v>1</v>
      </c>
      <c r="S17" s="13">
        <v>10</v>
      </c>
      <c r="T17" s="13">
        <v>32</v>
      </c>
      <c r="U17" s="13">
        <v>160</v>
      </c>
      <c r="V17" s="46">
        <f>PRODUCT(160/256)</f>
        <v>0.625</v>
      </c>
      <c r="W17" s="47" t="s">
        <v>614</v>
      </c>
      <c r="X17" s="48" t="s">
        <v>177</v>
      </c>
    </row>
    <row r="18" spans="1:24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59" t="s">
        <v>700</v>
      </c>
      <c r="O18" s="50">
        <v>36725</v>
      </c>
      <c r="P18" s="4" t="s">
        <v>787</v>
      </c>
      <c r="Q18" s="13">
        <v>122</v>
      </c>
      <c r="R18" s="13">
        <v>0</v>
      </c>
      <c r="S18" s="13">
        <v>10</v>
      </c>
      <c r="T18" s="13">
        <v>155</v>
      </c>
      <c r="U18" s="13">
        <v>485</v>
      </c>
      <c r="V18" s="46">
        <f>PRODUCT(485/696)</f>
        <v>0.69683908045977017</v>
      </c>
      <c r="W18" s="47" t="s">
        <v>626</v>
      </c>
      <c r="X18" s="48" t="s">
        <v>81</v>
      </c>
    </row>
    <row r="19" spans="1:24">
      <c r="A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59" t="s">
        <v>303</v>
      </c>
      <c r="O19" s="50">
        <v>36303</v>
      </c>
      <c r="P19" s="4" t="s">
        <v>75</v>
      </c>
      <c r="Q19" s="13">
        <v>85</v>
      </c>
      <c r="R19" s="13">
        <v>3</v>
      </c>
      <c r="S19" s="13">
        <v>17</v>
      </c>
      <c r="T19" s="13">
        <v>79</v>
      </c>
      <c r="U19" s="13">
        <v>306</v>
      </c>
      <c r="V19" s="46">
        <f>PRODUCT(306/536)</f>
        <v>0.57089552238805974</v>
      </c>
      <c r="W19" s="47" t="s">
        <v>697</v>
      </c>
      <c r="X19" s="48" t="s">
        <v>80</v>
      </c>
    </row>
    <row r="20" spans="1:24">
      <c r="A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9" t="s">
        <v>702</v>
      </c>
      <c r="O20" s="58">
        <v>38307</v>
      </c>
      <c r="P20" s="20" t="s">
        <v>788</v>
      </c>
      <c r="Q20" s="13"/>
      <c r="R20" s="13"/>
      <c r="S20" s="13"/>
      <c r="T20" s="13"/>
      <c r="U20" s="13"/>
      <c r="V20" s="46"/>
      <c r="W20" s="47" t="s">
        <v>626</v>
      </c>
      <c r="X20" s="48" t="s">
        <v>625</v>
      </c>
    </row>
    <row r="21" spans="1:24">
      <c r="A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9" t="s">
        <v>701</v>
      </c>
      <c r="O21" s="58">
        <v>38159</v>
      </c>
      <c r="P21" s="20" t="s">
        <v>789</v>
      </c>
      <c r="Q21" s="13">
        <v>92</v>
      </c>
      <c r="R21" s="13">
        <v>1</v>
      </c>
      <c r="S21" s="13">
        <v>37</v>
      </c>
      <c r="T21" s="13">
        <v>77</v>
      </c>
      <c r="U21" s="13">
        <v>362</v>
      </c>
      <c r="V21" s="46">
        <f>PRODUCT(362/578)</f>
        <v>0.62629757785467133</v>
      </c>
      <c r="W21" s="47" t="s">
        <v>626</v>
      </c>
      <c r="X21" s="48" t="s">
        <v>25</v>
      </c>
    </row>
    <row r="22" spans="1:24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9" t="s">
        <v>703</v>
      </c>
      <c r="O22" s="58">
        <v>37575</v>
      </c>
      <c r="P22" s="20" t="s">
        <v>129</v>
      </c>
      <c r="Q22" s="13">
        <v>66</v>
      </c>
      <c r="R22" s="13">
        <v>2</v>
      </c>
      <c r="S22" s="13">
        <v>35</v>
      </c>
      <c r="T22" s="13">
        <v>26</v>
      </c>
      <c r="U22" s="13">
        <v>145</v>
      </c>
      <c r="V22" s="46">
        <f>PRODUCT(145/295)</f>
        <v>0.49152542372881358</v>
      </c>
      <c r="W22" s="47" t="s">
        <v>622</v>
      </c>
      <c r="X22" s="48" t="s">
        <v>57</v>
      </c>
    </row>
    <row r="23" spans="1:24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59" t="s">
        <v>704</v>
      </c>
      <c r="O23" s="50">
        <v>39394</v>
      </c>
      <c r="P23" s="4" t="s">
        <v>29</v>
      </c>
      <c r="Q23" s="13">
        <v>6</v>
      </c>
      <c r="R23" s="13">
        <v>0</v>
      </c>
      <c r="S23" s="13">
        <v>0</v>
      </c>
      <c r="T23" s="13">
        <v>2</v>
      </c>
      <c r="U23" s="13">
        <v>10</v>
      </c>
      <c r="V23" s="46">
        <f>PRODUCT(10/21)</f>
        <v>0.47619047619047616</v>
      </c>
      <c r="W23" s="47" t="s">
        <v>697</v>
      </c>
      <c r="X23" s="48" t="s">
        <v>28</v>
      </c>
    </row>
    <row r="24" spans="1:24">
      <c r="A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59" t="s">
        <v>140</v>
      </c>
      <c r="O24" s="50">
        <v>38004</v>
      </c>
      <c r="P24" s="4" t="s">
        <v>29</v>
      </c>
      <c r="Q24" s="13">
        <v>59</v>
      </c>
      <c r="R24" s="13">
        <v>2</v>
      </c>
      <c r="S24" s="13">
        <v>7</v>
      </c>
      <c r="T24" s="13">
        <v>41</v>
      </c>
      <c r="U24" s="13">
        <v>179</v>
      </c>
      <c r="V24" s="46">
        <f>PRODUCT(179/285)</f>
        <v>0.62807017543859645</v>
      </c>
      <c r="W24" s="47" t="s">
        <v>697</v>
      </c>
      <c r="X24" s="48" t="s">
        <v>28</v>
      </c>
    </row>
    <row r="25" spans="1:24">
      <c r="A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59" t="s">
        <v>698</v>
      </c>
      <c r="O25" s="50">
        <v>37258</v>
      </c>
      <c r="P25" s="4" t="s">
        <v>21</v>
      </c>
      <c r="Q25" s="13">
        <v>2</v>
      </c>
      <c r="R25" s="13">
        <v>0</v>
      </c>
      <c r="S25" s="13">
        <v>0</v>
      </c>
      <c r="T25" s="13">
        <v>1</v>
      </c>
      <c r="U25" s="13">
        <v>7</v>
      </c>
      <c r="V25" s="46">
        <v>1</v>
      </c>
      <c r="W25" s="66" t="s">
        <v>697</v>
      </c>
      <c r="X25" s="48" t="s">
        <v>19</v>
      </c>
    </row>
    <row r="26" spans="1:24">
      <c r="A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4"/>
      <c r="O26" s="11"/>
      <c r="P26" s="31"/>
      <c r="Q26" s="60"/>
      <c r="R26" s="60"/>
      <c r="S26" s="60"/>
      <c r="T26" s="60"/>
      <c r="U26" s="60"/>
      <c r="V26" s="68"/>
      <c r="W26" s="69"/>
      <c r="X26" s="30"/>
    </row>
    <row r="27" spans="1:24">
      <c r="A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2" t="s">
        <v>221</v>
      </c>
      <c r="O27" s="11"/>
      <c r="P27" s="31"/>
      <c r="Q27" s="11"/>
      <c r="R27" s="11"/>
      <c r="S27" s="11"/>
      <c r="T27" s="11"/>
      <c r="U27" s="11"/>
      <c r="V27" s="11"/>
      <c r="W27" s="70"/>
      <c r="X27" s="40"/>
    </row>
    <row r="28" spans="1:24" ht="14.25">
      <c r="A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14" t="s">
        <v>5</v>
      </c>
      <c r="O28" s="41" t="s">
        <v>0</v>
      </c>
      <c r="P28" s="3" t="s">
        <v>3</v>
      </c>
      <c r="Q28" s="6" t="s">
        <v>13</v>
      </c>
      <c r="R28" s="6" t="s">
        <v>14</v>
      </c>
      <c r="S28" s="6" t="s">
        <v>15</v>
      </c>
      <c r="T28" s="6" t="s">
        <v>16</v>
      </c>
      <c r="U28" s="6" t="s">
        <v>17</v>
      </c>
      <c r="V28" s="42" t="s">
        <v>18</v>
      </c>
      <c r="W28" s="71" t="s">
        <v>222</v>
      </c>
      <c r="X28" s="33" t="s">
        <v>223</v>
      </c>
    </row>
    <row r="29" spans="1:24">
      <c r="A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4" t="s">
        <v>33</v>
      </c>
      <c r="O29" s="45">
        <v>33461</v>
      </c>
      <c r="P29" s="4" t="s">
        <v>9</v>
      </c>
      <c r="Q29" s="13">
        <v>118</v>
      </c>
      <c r="R29" s="13">
        <v>2</v>
      </c>
      <c r="S29" s="13">
        <v>13</v>
      </c>
      <c r="T29" s="13">
        <v>60</v>
      </c>
      <c r="U29" s="13">
        <v>240</v>
      </c>
      <c r="V29" s="46">
        <v>0.499</v>
      </c>
      <c r="W29" s="72">
        <v>168.3</v>
      </c>
      <c r="X29" s="48" t="s">
        <v>782</v>
      </c>
    </row>
    <row r="30" spans="1:24">
      <c r="A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9" t="s">
        <v>705</v>
      </c>
      <c r="O30" s="50">
        <v>36074</v>
      </c>
      <c r="P30" s="4" t="s">
        <v>109</v>
      </c>
      <c r="Q30" s="13">
        <v>96</v>
      </c>
      <c r="R30" s="13">
        <v>4</v>
      </c>
      <c r="S30" s="13">
        <v>11</v>
      </c>
      <c r="T30" s="13">
        <v>40</v>
      </c>
      <c r="U30" s="13">
        <v>246</v>
      </c>
      <c r="V30" s="46">
        <v>0.51400000000000001</v>
      </c>
      <c r="W30" s="72">
        <v>150</v>
      </c>
      <c r="X30" s="48" t="s">
        <v>783</v>
      </c>
    </row>
    <row r="31" spans="1:24">
      <c r="A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9" t="s">
        <v>701</v>
      </c>
      <c r="O31" s="58">
        <v>38159</v>
      </c>
      <c r="P31" s="20" t="s">
        <v>789</v>
      </c>
      <c r="Q31" s="13">
        <v>33</v>
      </c>
      <c r="R31" s="13">
        <v>0</v>
      </c>
      <c r="S31" s="13">
        <v>3</v>
      </c>
      <c r="T31" s="13">
        <v>6</v>
      </c>
      <c r="U31" s="13">
        <v>84</v>
      </c>
      <c r="V31" s="46">
        <v>0.56399999999999995</v>
      </c>
      <c r="W31" s="72">
        <v>27</v>
      </c>
      <c r="X31" s="48" t="s">
        <v>626</v>
      </c>
    </row>
    <row r="32" spans="1:24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59" t="s">
        <v>781</v>
      </c>
      <c r="O32" s="50">
        <v>33663</v>
      </c>
      <c r="P32" s="4" t="s">
        <v>784</v>
      </c>
      <c r="Q32" s="13">
        <v>24</v>
      </c>
      <c r="R32" s="13">
        <v>0</v>
      </c>
      <c r="S32" s="13">
        <v>2</v>
      </c>
      <c r="T32" s="13">
        <v>4</v>
      </c>
      <c r="U32" s="13">
        <v>34</v>
      </c>
      <c r="V32" s="46">
        <v>0.29299999999999998</v>
      </c>
      <c r="W32" s="72">
        <v>21.3</v>
      </c>
      <c r="X32" s="48" t="s">
        <v>785</v>
      </c>
    </row>
    <row r="33" spans="3:24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9" t="s">
        <v>144</v>
      </c>
      <c r="O33" s="50">
        <v>36390</v>
      </c>
      <c r="P33" s="4" t="s">
        <v>29</v>
      </c>
      <c r="Q33" s="13">
        <v>7</v>
      </c>
      <c r="R33" s="13">
        <v>0</v>
      </c>
      <c r="S33" s="13">
        <v>1</v>
      </c>
      <c r="T33" s="13">
        <v>0</v>
      </c>
      <c r="U33" s="13">
        <v>6</v>
      </c>
      <c r="V33" s="46">
        <v>0.316</v>
      </c>
      <c r="W33" s="72">
        <v>5</v>
      </c>
      <c r="X33" s="48" t="s">
        <v>783</v>
      </c>
    </row>
    <row r="34" spans="3:24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59" t="s">
        <v>324</v>
      </c>
      <c r="O34" s="50">
        <v>37257</v>
      </c>
      <c r="P34" s="4" t="s">
        <v>277</v>
      </c>
      <c r="Q34" s="13">
        <v>6</v>
      </c>
      <c r="R34" s="13">
        <v>0</v>
      </c>
      <c r="S34" s="13">
        <v>2</v>
      </c>
      <c r="T34" s="13">
        <v>0</v>
      </c>
      <c r="U34" s="13">
        <v>5</v>
      </c>
      <c r="V34" s="46">
        <v>0.55600000000000005</v>
      </c>
      <c r="W34" s="72">
        <v>5</v>
      </c>
      <c r="X34" s="48" t="s">
        <v>207</v>
      </c>
    </row>
    <row r="35" spans="3:24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4" t="s">
        <v>699</v>
      </c>
      <c r="O35" s="45">
        <v>36533</v>
      </c>
      <c r="P35" s="4" t="s">
        <v>552</v>
      </c>
      <c r="Q35" s="13">
        <v>6</v>
      </c>
      <c r="R35" s="13">
        <v>0</v>
      </c>
      <c r="S35" s="13">
        <v>2</v>
      </c>
      <c r="T35" s="13">
        <v>0</v>
      </c>
      <c r="U35" s="13">
        <v>10</v>
      </c>
      <c r="V35" s="46">
        <v>0.625</v>
      </c>
      <c r="W35" s="72">
        <v>0</v>
      </c>
      <c r="X35" s="48" t="s">
        <v>626</v>
      </c>
    </row>
    <row r="36" spans="3:24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4"/>
      <c r="O36" s="11"/>
      <c r="P36" s="24"/>
      <c r="Q36" s="11"/>
      <c r="R36" s="11"/>
      <c r="S36" s="11"/>
      <c r="T36" s="11"/>
      <c r="U36" s="11"/>
      <c r="V36" s="11"/>
      <c r="W36" s="24"/>
      <c r="X36" s="24"/>
    </row>
    <row r="37" spans="3:24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P37" s="2"/>
      <c r="W37" s="2"/>
      <c r="X37" s="2"/>
    </row>
    <row r="38" spans="3:24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P38" s="2"/>
      <c r="W38" s="2"/>
      <c r="X38" s="2"/>
    </row>
    <row r="39" spans="3:24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2"/>
      <c r="W39" s="2"/>
      <c r="X39" s="2"/>
    </row>
    <row r="40" spans="3:24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"/>
      <c r="W40" s="2"/>
      <c r="X40" s="2"/>
    </row>
    <row r="41" spans="3:24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P41" s="2"/>
      <c r="W41" s="2"/>
      <c r="X41" s="2"/>
    </row>
    <row r="42" spans="3:24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W42" s="2"/>
      <c r="X42" s="2"/>
    </row>
    <row r="43" spans="3:24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W43" s="2"/>
      <c r="X43" s="2"/>
    </row>
    <row r="44" spans="3:24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P44" s="2"/>
      <c r="W44" s="2"/>
      <c r="X44" s="2"/>
    </row>
    <row r="45" spans="3:24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P45" s="2"/>
      <c r="W45" s="2"/>
      <c r="X45" s="2"/>
    </row>
    <row r="46" spans="3:24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P46" s="2"/>
      <c r="W46" s="2"/>
      <c r="X46" s="2"/>
    </row>
    <row r="47" spans="3:24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P47" s="2"/>
      <c r="W47" s="2"/>
      <c r="X47" s="2"/>
    </row>
    <row r="48" spans="3:24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P48" s="2"/>
      <c r="W48" s="2"/>
      <c r="X48" s="2"/>
    </row>
    <row r="49" spans="3:24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P49" s="2"/>
      <c r="W49" s="2"/>
      <c r="X49" s="2"/>
    </row>
    <row r="50" spans="3:24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P50" s="2"/>
      <c r="W50" s="2"/>
      <c r="X50" s="2"/>
    </row>
    <row r="51" spans="3:24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P51" s="2"/>
      <c r="W51" s="2"/>
      <c r="X51" s="2"/>
    </row>
    <row r="52" spans="3:24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P52" s="2"/>
      <c r="W52" s="2"/>
      <c r="X52" s="2"/>
    </row>
    <row r="53" spans="3:24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P53" s="2"/>
      <c r="W53" s="2"/>
      <c r="X53" s="2"/>
    </row>
    <row r="54" spans="3:24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P54" s="2"/>
      <c r="W54" s="2"/>
      <c r="X54" s="2"/>
    </row>
    <row r="55" spans="3:24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P55" s="2"/>
      <c r="W55" s="2"/>
      <c r="X55" s="2"/>
    </row>
    <row r="56" spans="3:24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P56" s="2"/>
      <c r="W56" s="2"/>
      <c r="X56" s="2"/>
    </row>
    <row r="57" spans="3:24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P57" s="2"/>
      <c r="W57" s="2"/>
      <c r="X57" s="2"/>
    </row>
    <row r="58" spans="3:24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P58" s="2"/>
      <c r="W58" s="2"/>
      <c r="X58" s="2"/>
    </row>
    <row r="59" spans="3:24">
      <c r="M59" s="2"/>
      <c r="P59" s="2"/>
      <c r="W59" s="2"/>
      <c r="X59" s="2"/>
    </row>
    <row r="60" spans="3:24">
      <c r="P60" s="2"/>
      <c r="W60" s="2"/>
      <c r="X60" s="2"/>
    </row>
    <row r="61" spans="3:24">
      <c r="P61" s="2"/>
      <c r="W61" s="2"/>
      <c r="X61" s="2"/>
    </row>
    <row r="62" spans="3:24">
      <c r="P62" s="2"/>
      <c r="W62" s="2"/>
      <c r="X62" s="2"/>
    </row>
    <row r="63" spans="3:24">
      <c r="P63" s="2"/>
      <c r="W63" s="2"/>
      <c r="X63" s="2"/>
    </row>
  </sheetData>
  <sortState xmlns:xlrd2="http://schemas.microsoft.com/office/spreadsheetml/2017/richdata2" ref="N29:X35">
    <sortCondition descending="1" ref="W29:W35"/>
  </sortState>
  <pageMargins left="0.7" right="0.7" top="0.75" bottom="0.75" header="0.3" footer="0.3"/>
  <pageSetup paperSize="9" orientation="portrait" horizontalDpi="4294967293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59"/>
  <sheetViews>
    <sheetView zoomScale="93" zoomScaleNormal="93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2.7109375" style="2" customWidth="1"/>
    <col min="15" max="15" width="13.140625" style="6" customWidth="1"/>
    <col min="16" max="16" width="12.85546875" style="3" bestFit="1" customWidth="1"/>
    <col min="17" max="21" width="6.7109375" style="6" customWidth="1"/>
    <col min="22" max="22" width="9.85546875" style="6" customWidth="1"/>
    <col min="23" max="23" width="15.7109375" style="6" customWidth="1"/>
    <col min="24" max="24" width="24.5703125" style="22" bestFit="1" customWidth="1"/>
    <col min="25" max="25" width="9.140625" style="1"/>
    <col min="26" max="16384" width="9.140625" style="23"/>
  </cols>
  <sheetData>
    <row r="1" spans="1:25" ht="18.75">
      <c r="A1" s="21"/>
      <c r="B1" s="28" t="s">
        <v>143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"/>
      <c r="N1" s="19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</row>
    <row r="2" spans="1:25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119</v>
      </c>
      <c r="P2" s="31"/>
      <c r="Q2" s="11"/>
      <c r="R2" s="11"/>
      <c r="S2" s="11"/>
      <c r="T2" s="11"/>
      <c r="U2" s="11"/>
      <c r="V2" s="11"/>
      <c r="W2" s="11"/>
      <c r="X2" s="25"/>
    </row>
    <row r="3" spans="1:25">
      <c r="B3" s="104" t="s">
        <v>41</v>
      </c>
      <c r="C3" s="117"/>
      <c r="D3" s="117"/>
      <c r="E3" s="117"/>
      <c r="F3" s="117"/>
      <c r="G3" s="117"/>
      <c r="H3" s="107">
        <v>2</v>
      </c>
      <c r="I3" s="107">
        <v>1</v>
      </c>
      <c r="J3" s="108">
        <v>8</v>
      </c>
      <c r="K3" s="108">
        <v>4</v>
      </c>
      <c r="L3" s="108">
        <v>8</v>
      </c>
      <c r="M3" s="2"/>
      <c r="N3" s="32" t="s">
        <v>116</v>
      </c>
      <c r="O3" s="5" t="s">
        <v>715</v>
      </c>
      <c r="X3" s="33"/>
    </row>
    <row r="4" spans="1:25">
      <c r="B4" s="104" t="s">
        <v>42</v>
      </c>
      <c r="C4" s="108">
        <v>4</v>
      </c>
      <c r="D4" s="108">
        <v>1</v>
      </c>
      <c r="E4" s="108">
        <v>5</v>
      </c>
      <c r="F4" s="108">
        <v>3</v>
      </c>
      <c r="G4" s="108">
        <v>9</v>
      </c>
      <c r="H4" s="108">
        <v>2</v>
      </c>
      <c r="I4" s="107">
        <v>3</v>
      </c>
      <c r="J4" s="107">
        <v>3</v>
      </c>
      <c r="K4" s="107">
        <v>2</v>
      </c>
      <c r="L4" s="107">
        <v>3</v>
      </c>
      <c r="M4" s="2"/>
      <c r="N4" s="32" t="s">
        <v>115</v>
      </c>
      <c r="O4" s="5" t="s">
        <v>716</v>
      </c>
      <c r="X4" s="33"/>
    </row>
    <row r="5" spans="1:25">
      <c r="B5" s="104" t="s">
        <v>118</v>
      </c>
      <c r="C5" s="107">
        <v>1</v>
      </c>
      <c r="D5" s="108">
        <v>4</v>
      </c>
      <c r="E5" s="108">
        <v>5</v>
      </c>
      <c r="F5" s="108">
        <v>4</v>
      </c>
      <c r="G5" s="91"/>
      <c r="H5" s="91"/>
      <c r="I5" s="91"/>
      <c r="J5" s="91"/>
      <c r="K5" s="91"/>
      <c r="L5" s="92"/>
      <c r="M5" s="2"/>
      <c r="N5" s="32" t="s">
        <v>1</v>
      </c>
      <c r="O5" s="4" t="s">
        <v>312</v>
      </c>
      <c r="X5" s="33"/>
    </row>
    <row r="6" spans="1:25">
      <c r="I6" s="4"/>
      <c r="J6" s="4"/>
      <c r="K6" s="4"/>
      <c r="L6" s="4"/>
      <c r="M6" s="2"/>
      <c r="N6" s="34" t="s">
        <v>2</v>
      </c>
      <c r="O6" s="35" t="s">
        <v>134</v>
      </c>
      <c r="P6" s="36"/>
      <c r="Q6" s="37"/>
      <c r="R6" s="37"/>
      <c r="S6" s="37"/>
      <c r="T6" s="37"/>
      <c r="U6" s="37"/>
      <c r="V6" s="37"/>
      <c r="W6" s="37"/>
      <c r="X6" s="38"/>
    </row>
    <row r="7" spans="1:25">
      <c r="B7" s="90" t="s">
        <v>35</v>
      </c>
      <c r="C7" s="9"/>
      <c r="D7" s="52" t="s">
        <v>268</v>
      </c>
      <c r="E7" s="53"/>
      <c r="F7" s="53"/>
      <c r="G7" s="84" t="s">
        <v>269</v>
      </c>
      <c r="H7" s="85"/>
      <c r="I7" s="86"/>
      <c r="J7" s="54" t="s">
        <v>220</v>
      </c>
      <c r="K7" s="55"/>
      <c r="L7" s="56"/>
      <c r="M7" s="2"/>
      <c r="X7" s="2"/>
    </row>
    <row r="8" spans="1:25">
      <c r="B8" s="57"/>
      <c r="C8" s="2"/>
      <c r="D8" s="2"/>
      <c r="E8" s="2"/>
      <c r="F8" s="13"/>
      <c r="G8" s="13"/>
      <c r="H8" s="13"/>
      <c r="I8" s="2"/>
      <c r="J8" s="2"/>
      <c r="K8" s="2"/>
      <c r="L8" s="2"/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39"/>
      <c r="X8" s="40"/>
    </row>
    <row r="9" spans="1:2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566</v>
      </c>
      <c r="X9" s="43" t="s">
        <v>31</v>
      </c>
    </row>
    <row r="10" spans="1:2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44" t="s">
        <v>120</v>
      </c>
      <c r="O10" s="45">
        <v>35855</v>
      </c>
      <c r="P10" s="4" t="s">
        <v>79</v>
      </c>
      <c r="Q10" s="13">
        <v>24</v>
      </c>
      <c r="R10" s="13">
        <v>2</v>
      </c>
      <c r="S10" s="13">
        <v>1</v>
      </c>
      <c r="T10" s="13">
        <v>23</v>
      </c>
      <c r="U10" s="13">
        <v>53</v>
      </c>
      <c r="V10" s="46">
        <f>PRODUCT(53/102)</f>
        <v>0.51960784313725494</v>
      </c>
      <c r="W10" s="47" t="s">
        <v>636</v>
      </c>
      <c r="X10" s="48" t="s">
        <v>68</v>
      </c>
    </row>
    <row r="11" spans="1: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49" t="s">
        <v>199</v>
      </c>
      <c r="O11" s="50">
        <v>37665</v>
      </c>
      <c r="P11" s="4" t="s">
        <v>187</v>
      </c>
      <c r="Q11" s="13">
        <v>54</v>
      </c>
      <c r="R11" s="13">
        <v>0</v>
      </c>
      <c r="S11" s="13">
        <v>12</v>
      </c>
      <c r="T11" s="13">
        <v>8</v>
      </c>
      <c r="U11" s="13">
        <v>67</v>
      </c>
      <c r="V11" s="46">
        <f>PRODUCT(67/152)</f>
        <v>0.44078947368421051</v>
      </c>
      <c r="W11" s="47" t="s">
        <v>320</v>
      </c>
      <c r="X11" s="48" t="s">
        <v>188</v>
      </c>
    </row>
    <row r="12" spans="1: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4" t="s">
        <v>711</v>
      </c>
      <c r="O12" s="45">
        <v>39174</v>
      </c>
      <c r="P12" s="16" t="s">
        <v>12</v>
      </c>
      <c r="Q12" s="13">
        <v>14</v>
      </c>
      <c r="R12" s="13">
        <v>1</v>
      </c>
      <c r="S12" s="13">
        <v>1</v>
      </c>
      <c r="T12" s="13">
        <v>17</v>
      </c>
      <c r="U12" s="13">
        <v>59</v>
      </c>
      <c r="V12" s="46">
        <f>PRODUCT(59/86)</f>
        <v>0.68604651162790697</v>
      </c>
      <c r="W12" s="47" t="s">
        <v>763</v>
      </c>
      <c r="X12" s="51" t="s">
        <v>66</v>
      </c>
    </row>
    <row r="13" spans="1: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9" t="s">
        <v>217</v>
      </c>
      <c r="O13" s="50">
        <v>37097</v>
      </c>
      <c r="P13" s="4" t="s">
        <v>127</v>
      </c>
      <c r="Q13" s="13">
        <v>22</v>
      </c>
      <c r="R13" s="13">
        <v>0</v>
      </c>
      <c r="S13" s="13">
        <v>14</v>
      </c>
      <c r="T13" s="13">
        <v>9</v>
      </c>
      <c r="U13" s="13">
        <v>53</v>
      </c>
      <c r="V13" s="46">
        <f>PRODUCT(53/105)</f>
        <v>0.50476190476190474</v>
      </c>
      <c r="W13" s="47" t="s">
        <v>636</v>
      </c>
      <c r="X13" s="48" t="s">
        <v>777</v>
      </c>
    </row>
    <row r="14" spans="1:25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59" t="s">
        <v>122</v>
      </c>
      <c r="O14" s="50">
        <v>36925</v>
      </c>
      <c r="P14" s="4" t="s">
        <v>106</v>
      </c>
      <c r="Q14" s="13">
        <v>46</v>
      </c>
      <c r="R14" s="13">
        <v>1</v>
      </c>
      <c r="S14" s="13">
        <v>7</v>
      </c>
      <c r="T14" s="13">
        <v>24</v>
      </c>
      <c r="U14" s="13">
        <v>100</v>
      </c>
      <c r="V14" s="46">
        <f>PRODUCT(100/186)</f>
        <v>0.5376344086021505</v>
      </c>
      <c r="W14" s="47" t="s">
        <v>636</v>
      </c>
      <c r="X14" s="48" t="s">
        <v>208</v>
      </c>
    </row>
    <row r="15" spans="1:25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59" t="s">
        <v>710</v>
      </c>
      <c r="O15" s="50">
        <v>37123</v>
      </c>
      <c r="P15" s="4" t="s">
        <v>348</v>
      </c>
      <c r="Q15" s="13">
        <v>75</v>
      </c>
      <c r="R15" s="13">
        <v>4</v>
      </c>
      <c r="S15" s="13">
        <v>89</v>
      </c>
      <c r="T15" s="13">
        <v>10</v>
      </c>
      <c r="U15" s="13">
        <v>186</v>
      </c>
      <c r="V15" s="46">
        <f>PRODUCT(186/426)</f>
        <v>0.43661971830985913</v>
      </c>
      <c r="W15" s="47" t="s">
        <v>622</v>
      </c>
      <c r="X15" s="48" t="s">
        <v>341</v>
      </c>
    </row>
    <row r="16" spans="1:25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59" t="s">
        <v>218</v>
      </c>
      <c r="O16" s="50">
        <v>36939</v>
      </c>
      <c r="P16" s="4" t="s">
        <v>178</v>
      </c>
      <c r="Q16" s="13">
        <v>31</v>
      </c>
      <c r="R16" s="13">
        <v>6</v>
      </c>
      <c r="S16" s="13">
        <v>35</v>
      </c>
      <c r="T16" s="13">
        <v>21</v>
      </c>
      <c r="U16" s="13">
        <v>113</v>
      </c>
      <c r="V16" s="46">
        <f>PRODUCT(113/192)</f>
        <v>0.58854166666666663</v>
      </c>
      <c r="W16" s="47" t="s">
        <v>778</v>
      </c>
      <c r="X16" s="48" t="s">
        <v>179</v>
      </c>
    </row>
    <row r="17" spans="1:24">
      <c r="A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59" t="s">
        <v>186</v>
      </c>
      <c r="O17" s="50">
        <v>37139</v>
      </c>
      <c r="P17" s="4" t="s">
        <v>176</v>
      </c>
      <c r="Q17" s="13">
        <v>54</v>
      </c>
      <c r="R17" s="13">
        <v>1</v>
      </c>
      <c r="S17" s="13">
        <v>67</v>
      </c>
      <c r="T17" s="13">
        <v>13</v>
      </c>
      <c r="U17" s="13">
        <v>128</v>
      </c>
      <c r="V17" s="46">
        <f>PRODUCT(128/278)</f>
        <v>0.46043165467625902</v>
      </c>
      <c r="W17" s="47" t="s">
        <v>636</v>
      </c>
      <c r="X17" s="48" t="s">
        <v>177</v>
      </c>
    </row>
    <row r="18" spans="1:24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59" t="s">
        <v>713</v>
      </c>
      <c r="O18" s="50">
        <v>39188</v>
      </c>
      <c r="P18" s="4" t="s">
        <v>181</v>
      </c>
      <c r="Q18" s="13"/>
      <c r="R18" s="13"/>
      <c r="S18" s="13"/>
      <c r="T18" s="13"/>
      <c r="U18" s="13"/>
      <c r="V18" s="46"/>
      <c r="W18" s="47" t="s">
        <v>779</v>
      </c>
      <c r="X18" s="48" t="s">
        <v>93</v>
      </c>
    </row>
    <row r="19" spans="1:24">
      <c r="A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59" t="s">
        <v>92</v>
      </c>
      <c r="O19" s="50">
        <v>36861</v>
      </c>
      <c r="P19" s="4" t="s">
        <v>21</v>
      </c>
      <c r="Q19" s="13">
        <v>80</v>
      </c>
      <c r="R19" s="13">
        <v>1</v>
      </c>
      <c r="S19" s="13">
        <v>33</v>
      </c>
      <c r="T19" s="13">
        <v>12</v>
      </c>
      <c r="U19" s="13">
        <v>107</v>
      </c>
      <c r="V19" s="46">
        <f>PRODUCT(107/268)</f>
        <v>0.39925373134328357</v>
      </c>
      <c r="W19" s="47" t="s">
        <v>636</v>
      </c>
      <c r="X19" s="48" t="s">
        <v>19</v>
      </c>
    </row>
    <row r="20" spans="1:24">
      <c r="A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59" t="s">
        <v>124</v>
      </c>
      <c r="O20" s="50">
        <v>38268</v>
      </c>
      <c r="P20" s="4" t="s">
        <v>135</v>
      </c>
      <c r="Q20" s="13">
        <v>35</v>
      </c>
      <c r="R20" s="13">
        <v>0</v>
      </c>
      <c r="S20" s="13">
        <v>31</v>
      </c>
      <c r="T20" s="13">
        <v>13</v>
      </c>
      <c r="U20" s="13">
        <v>99</v>
      </c>
      <c r="V20" s="46">
        <f>PRODUCT(99/194)</f>
        <v>0.51030927835051543</v>
      </c>
      <c r="W20" s="47" t="s">
        <v>636</v>
      </c>
      <c r="X20" s="48" t="s">
        <v>207</v>
      </c>
    </row>
    <row r="21" spans="1:24">
      <c r="A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59" t="s">
        <v>712</v>
      </c>
      <c r="O21" s="50">
        <v>38098</v>
      </c>
      <c r="P21" s="4" t="s">
        <v>72</v>
      </c>
      <c r="Q21" s="13">
        <v>2</v>
      </c>
      <c r="R21" s="13">
        <v>0</v>
      </c>
      <c r="S21" s="13">
        <v>0</v>
      </c>
      <c r="T21" s="13">
        <v>1</v>
      </c>
      <c r="U21" s="13">
        <v>8</v>
      </c>
      <c r="V21" s="46">
        <f>PRODUCT(8/12)</f>
        <v>0.66666666666666663</v>
      </c>
      <c r="W21" s="47" t="s">
        <v>697</v>
      </c>
      <c r="X21" s="48" t="s">
        <v>19</v>
      </c>
    </row>
    <row r="22" spans="1:24">
      <c r="A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59" t="s">
        <v>714</v>
      </c>
      <c r="O22" s="50">
        <v>28738</v>
      </c>
      <c r="P22" s="4" t="s">
        <v>776</v>
      </c>
      <c r="Q22" s="13"/>
      <c r="R22" s="13"/>
      <c r="S22" s="13"/>
      <c r="T22" s="13"/>
      <c r="U22" s="13"/>
      <c r="V22" s="46"/>
      <c r="W22" s="66"/>
      <c r="X22" s="48" t="s">
        <v>89</v>
      </c>
    </row>
    <row r="23" spans="1:24">
      <c r="A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4"/>
      <c r="O23" s="11"/>
      <c r="P23" s="31"/>
      <c r="Q23" s="60"/>
      <c r="R23" s="60"/>
      <c r="S23" s="60"/>
      <c r="T23" s="60"/>
      <c r="U23" s="60"/>
      <c r="V23" s="68"/>
      <c r="W23" s="69"/>
      <c r="X23" s="30"/>
    </row>
    <row r="24" spans="1:24">
      <c r="A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12" t="s">
        <v>221</v>
      </c>
      <c r="O24" s="11"/>
      <c r="P24" s="31"/>
      <c r="Q24" s="11"/>
      <c r="R24" s="11"/>
      <c r="S24" s="11"/>
      <c r="T24" s="11"/>
      <c r="U24" s="11"/>
      <c r="V24" s="11"/>
      <c r="W24" s="70"/>
      <c r="X24" s="40"/>
    </row>
    <row r="25" spans="1:24" ht="14.25">
      <c r="A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14" t="s">
        <v>5</v>
      </c>
      <c r="O25" s="41" t="s">
        <v>0</v>
      </c>
      <c r="P25" s="3" t="s">
        <v>3</v>
      </c>
      <c r="Q25" s="6" t="s">
        <v>13</v>
      </c>
      <c r="R25" s="6" t="s">
        <v>14</v>
      </c>
      <c r="S25" s="6" t="s">
        <v>15</v>
      </c>
      <c r="T25" s="6" t="s">
        <v>16</v>
      </c>
      <c r="U25" s="6" t="s">
        <v>17</v>
      </c>
      <c r="V25" s="42" t="s">
        <v>18</v>
      </c>
      <c r="W25" s="71" t="s">
        <v>222</v>
      </c>
      <c r="X25" s="33" t="s">
        <v>223</v>
      </c>
    </row>
    <row r="26" spans="1:24">
      <c r="A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59" t="s">
        <v>714</v>
      </c>
      <c r="O26" s="50">
        <v>28738</v>
      </c>
      <c r="P26" s="4" t="s">
        <v>776</v>
      </c>
      <c r="Q26" s="13">
        <v>498</v>
      </c>
      <c r="R26" s="13">
        <v>42</v>
      </c>
      <c r="S26" s="13">
        <v>466</v>
      </c>
      <c r="T26" s="13">
        <v>563</v>
      </c>
      <c r="U26" s="13">
        <v>2373</v>
      </c>
      <c r="V26" s="46">
        <v>0.63400000000000001</v>
      </c>
      <c r="W26" s="72">
        <v>1939.7</v>
      </c>
      <c r="X26" s="48" t="s">
        <v>780</v>
      </c>
    </row>
    <row r="27" spans="1:24">
      <c r="A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4" t="s">
        <v>711</v>
      </c>
      <c r="O27" s="45">
        <v>39174</v>
      </c>
      <c r="P27" s="16" t="s">
        <v>12</v>
      </c>
      <c r="Q27" s="64">
        <v>1</v>
      </c>
      <c r="R27" s="64">
        <v>0</v>
      </c>
      <c r="S27" s="64">
        <v>0</v>
      </c>
      <c r="T27" s="64">
        <v>1</v>
      </c>
      <c r="U27" s="64">
        <v>2</v>
      </c>
      <c r="V27" s="65">
        <v>0.66700000000000004</v>
      </c>
      <c r="W27" s="82">
        <v>0</v>
      </c>
      <c r="X27" s="67" t="s">
        <v>763</v>
      </c>
    </row>
    <row r="28" spans="1:24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4"/>
      <c r="O28" s="11"/>
      <c r="P28" s="24"/>
      <c r="Q28" s="11"/>
      <c r="R28" s="11"/>
      <c r="S28" s="11"/>
      <c r="T28" s="11"/>
      <c r="U28" s="11"/>
      <c r="V28" s="11"/>
      <c r="W28" s="24"/>
      <c r="X28" s="24"/>
    </row>
    <row r="29" spans="1:24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P29" s="2"/>
      <c r="W29" s="2"/>
      <c r="X29" s="2"/>
    </row>
    <row r="30" spans="1:24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P30" s="2"/>
      <c r="W30" s="2"/>
      <c r="X30" s="2"/>
    </row>
    <row r="31" spans="1:24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P31" s="2"/>
      <c r="W31" s="2"/>
      <c r="X31" s="2"/>
    </row>
    <row r="32" spans="1:24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P32" s="2"/>
      <c r="W32" s="2"/>
      <c r="X32" s="2"/>
    </row>
    <row r="33" spans="3:24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P33" s="2"/>
      <c r="W33" s="2"/>
      <c r="X33" s="2"/>
    </row>
    <row r="34" spans="3:24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P34" s="2"/>
      <c r="W34" s="2"/>
      <c r="X34" s="2"/>
    </row>
    <row r="35" spans="3:24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P35" s="2"/>
      <c r="W35" s="2"/>
      <c r="X35" s="2"/>
    </row>
    <row r="36" spans="3:24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P36" s="2"/>
      <c r="W36" s="2"/>
      <c r="X36" s="2"/>
    </row>
    <row r="37" spans="3:24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P37" s="2"/>
      <c r="W37" s="2"/>
      <c r="X37" s="2"/>
    </row>
    <row r="38" spans="3:24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P38" s="2"/>
      <c r="W38" s="2"/>
      <c r="X38" s="2"/>
    </row>
    <row r="39" spans="3:24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2"/>
      <c r="W39" s="2"/>
      <c r="X39" s="2"/>
    </row>
    <row r="40" spans="3:24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"/>
      <c r="W40" s="2"/>
      <c r="X40" s="2"/>
    </row>
    <row r="41" spans="3:24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P41" s="2"/>
      <c r="W41" s="2"/>
      <c r="X41" s="2"/>
    </row>
    <row r="42" spans="3:24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W42" s="2"/>
      <c r="X42" s="2"/>
    </row>
    <row r="43" spans="3:24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W43" s="2"/>
      <c r="X43" s="2"/>
    </row>
    <row r="44" spans="3:24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P44" s="2"/>
      <c r="W44" s="2"/>
      <c r="X44" s="2"/>
    </row>
    <row r="45" spans="3:24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P45" s="2"/>
      <c r="W45" s="2"/>
      <c r="X45" s="2"/>
    </row>
    <row r="46" spans="3:24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P46" s="2"/>
      <c r="W46" s="2"/>
      <c r="X46" s="2"/>
    </row>
    <row r="47" spans="3:24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P47" s="2"/>
      <c r="W47" s="2"/>
      <c r="X47" s="2"/>
    </row>
    <row r="48" spans="3:24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P48" s="2"/>
      <c r="W48" s="2"/>
      <c r="X48" s="2"/>
    </row>
    <row r="49" spans="3:24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P49" s="2"/>
      <c r="W49" s="2"/>
      <c r="X49" s="2"/>
    </row>
    <row r="50" spans="3:24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P50" s="2"/>
      <c r="W50" s="2"/>
      <c r="X50" s="2"/>
    </row>
    <row r="51" spans="3:24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P51" s="2"/>
      <c r="W51" s="2"/>
      <c r="X51" s="2"/>
    </row>
    <row r="52" spans="3:24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P52" s="2"/>
      <c r="W52" s="2"/>
      <c r="X52" s="2"/>
    </row>
    <row r="53" spans="3:24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P53" s="2"/>
      <c r="W53" s="2"/>
      <c r="X53" s="2"/>
    </row>
    <row r="54" spans="3:24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P54" s="2"/>
      <c r="W54" s="2"/>
      <c r="X54" s="2"/>
    </row>
    <row r="55" spans="3:24">
      <c r="P55" s="2"/>
      <c r="W55" s="2"/>
      <c r="X55" s="2"/>
    </row>
    <row r="56" spans="3:24">
      <c r="P56" s="2"/>
      <c r="W56" s="2"/>
      <c r="X56" s="2"/>
    </row>
    <row r="57" spans="3:24">
      <c r="P57" s="2"/>
      <c r="W57" s="2"/>
      <c r="X57" s="2"/>
    </row>
    <row r="58" spans="3:24">
      <c r="P58" s="2"/>
      <c r="W58" s="2"/>
      <c r="X58" s="2"/>
    </row>
    <row r="59" spans="3:24">
      <c r="P59" s="2"/>
      <c r="W59" s="2"/>
      <c r="X59" s="2"/>
    </row>
  </sheetData>
  <sortState xmlns:xlrd2="http://schemas.microsoft.com/office/spreadsheetml/2017/richdata2" ref="N26:X27">
    <sortCondition descending="1" ref="N26:N27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63"/>
  <sheetViews>
    <sheetView zoomScale="93" zoomScaleNormal="93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0.5703125" style="2" customWidth="1"/>
    <col min="15" max="15" width="13.140625" style="6" customWidth="1"/>
    <col min="16" max="16" width="12.85546875" style="3" bestFit="1" customWidth="1"/>
    <col min="17" max="21" width="6.7109375" style="6" customWidth="1"/>
    <col min="22" max="22" width="9.7109375" style="6" customWidth="1"/>
    <col min="23" max="23" width="9.85546875" style="6" customWidth="1"/>
    <col min="24" max="24" width="32.5703125" style="6" bestFit="1" customWidth="1"/>
    <col min="25" max="25" width="9.140625" style="1"/>
    <col min="26" max="16384" width="9.140625" style="4"/>
  </cols>
  <sheetData>
    <row r="1" spans="1:24" ht="18.75">
      <c r="A1" s="21"/>
      <c r="B1" s="28" t="s">
        <v>68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"/>
      <c r="N1" s="19"/>
      <c r="Q1" s="13"/>
      <c r="R1" s="13"/>
      <c r="S1" s="13"/>
      <c r="T1" s="13"/>
      <c r="U1" s="13"/>
      <c r="V1" s="13"/>
      <c r="W1" s="13"/>
      <c r="X1" s="13"/>
    </row>
    <row r="2" spans="1:24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73</v>
      </c>
      <c r="P2" s="31"/>
      <c r="Q2" s="11"/>
      <c r="R2" s="11"/>
      <c r="S2" s="11"/>
      <c r="T2" s="11"/>
      <c r="U2" s="11"/>
      <c r="V2" s="11"/>
      <c r="W2" s="11"/>
      <c r="X2" s="145"/>
    </row>
    <row r="3" spans="1:24">
      <c r="B3" s="104" t="s">
        <v>38</v>
      </c>
      <c r="C3" s="106" t="s">
        <v>36</v>
      </c>
      <c r="D3" s="106" t="s">
        <v>36</v>
      </c>
      <c r="E3" s="106" t="s">
        <v>36</v>
      </c>
      <c r="F3" s="106" t="s">
        <v>36</v>
      </c>
      <c r="G3" s="106" t="s">
        <v>36</v>
      </c>
      <c r="H3" s="106" t="s">
        <v>36</v>
      </c>
      <c r="I3" s="106" t="s">
        <v>36</v>
      </c>
      <c r="J3" s="106" t="s">
        <v>36</v>
      </c>
      <c r="K3" s="107">
        <v>3</v>
      </c>
      <c r="L3" s="107">
        <v>4</v>
      </c>
      <c r="M3" s="2"/>
      <c r="N3" s="32" t="s">
        <v>116</v>
      </c>
      <c r="O3" s="5" t="s">
        <v>559</v>
      </c>
      <c r="X3" s="146"/>
    </row>
    <row r="4" spans="1:24">
      <c r="B4" s="104" t="s">
        <v>39</v>
      </c>
      <c r="C4" s="107">
        <v>4</v>
      </c>
      <c r="D4" s="107">
        <v>4</v>
      </c>
      <c r="E4" s="107">
        <v>3</v>
      </c>
      <c r="F4" s="107">
        <v>3</v>
      </c>
      <c r="G4" s="107">
        <v>5</v>
      </c>
      <c r="H4" s="107">
        <v>2</v>
      </c>
      <c r="I4" s="107">
        <v>2</v>
      </c>
      <c r="J4" s="107">
        <v>3</v>
      </c>
      <c r="K4" s="107">
        <v>1</v>
      </c>
      <c r="L4" s="108">
        <v>8</v>
      </c>
      <c r="M4" s="2"/>
      <c r="N4" s="32" t="s">
        <v>115</v>
      </c>
      <c r="O4" s="5" t="s">
        <v>131</v>
      </c>
      <c r="X4" s="146"/>
    </row>
    <row r="5" spans="1:24">
      <c r="B5" s="104" t="s">
        <v>40</v>
      </c>
      <c r="C5" s="107">
        <v>3</v>
      </c>
      <c r="D5" s="109" t="s">
        <v>36</v>
      </c>
      <c r="E5" s="106">
        <v>2</v>
      </c>
      <c r="F5" s="106">
        <v>4</v>
      </c>
      <c r="G5" s="107">
        <v>3</v>
      </c>
      <c r="H5" s="107">
        <v>1</v>
      </c>
      <c r="I5" s="108">
        <v>8</v>
      </c>
      <c r="J5" s="108">
        <v>4</v>
      </c>
      <c r="K5" s="108">
        <v>1</v>
      </c>
      <c r="L5" s="106" t="s">
        <v>36</v>
      </c>
      <c r="M5" s="2"/>
      <c r="N5" s="32" t="s">
        <v>1</v>
      </c>
      <c r="O5" s="21" t="s">
        <v>83</v>
      </c>
      <c r="X5" s="146"/>
    </row>
    <row r="6" spans="1:24">
      <c r="B6" s="104" t="s">
        <v>41</v>
      </c>
      <c r="C6" s="106" t="s">
        <v>36</v>
      </c>
      <c r="D6" s="106" t="s">
        <v>36</v>
      </c>
      <c r="E6" s="106">
        <v>3</v>
      </c>
      <c r="F6" s="106" t="s">
        <v>36</v>
      </c>
      <c r="G6" s="106">
        <v>1</v>
      </c>
      <c r="H6" s="107">
        <v>5</v>
      </c>
      <c r="I6" s="107">
        <v>2</v>
      </c>
      <c r="J6" s="108">
        <v>4</v>
      </c>
      <c r="K6" s="108">
        <v>2</v>
      </c>
      <c r="L6" s="108">
        <v>6</v>
      </c>
      <c r="M6" s="2"/>
      <c r="N6" s="34" t="s">
        <v>2</v>
      </c>
      <c r="O6" s="35" t="s">
        <v>76</v>
      </c>
      <c r="P6" s="36"/>
      <c r="Q6" s="37"/>
      <c r="R6" s="37"/>
      <c r="S6" s="37"/>
      <c r="T6" s="37"/>
      <c r="U6" s="37"/>
      <c r="V6" s="37"/>
      <c r="W6" s="37"/>
      <c r="X6" s="147"/>
    </row>
    <row r="7" spans="1:24">
      <c r="B7" s="104" t="s">
        <v>42</v>
      </c>
      <c r="C7" s="108">
        <v>8</v>
      </c>
      <c r="D7" s="108">
        <v>8</v>
      </c>
      <c r="E7" s="107">
        <v>5</v>
      </c>
      <c r="F7" s="107">
        <v>7</v>
      </c>
      <c r="G7" s="107">
        <v>6</v>
      </c>
      <c r="H7" s="108">
        <v>1</v>
      </c>
      <c r="I7" s="110">
        <v>9</v>
      </c>
      <c r="J7" s="110">
        <v>10</v>
      </c>
      <c r="K7" s="107">
        <v>1</v>
      </c>
      <c r="L7" s="108">
        <v>7</v>
      </c>
      <c r="M7" s="2"/>
    </row>
    <row r="8" spans="1:24">
      <c r="B8" s="104" t="s">
        <v>118</v>
      </c>
      <c r="C8" s="108">
        <v>6</v>
      </c>
      <c r="D8" s="108">
        <v>9</v>
      </c>
      <c r="E8" s="108">
        <v>2</v>
      </c>
      <c r="F8" s="108">
        <v>3</v>
      </c>
      <c r="G8" s="91"/>
      <c r="H8" s="91"/>
      <c r="I8" s="91"/>
      <c r="J8" s="91"/>
      <c r="K8" s="91"/>
      <c r="L8" s="92"/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11"/>
      <c r="X8" s="40"/>
    </row>
    <row r="9" spans="1:24">
      <c r="I9" s="4"/>
      <c r="J9" s="4"/>
      <c r="K9" s="4"/>
      <c r="L9" s="4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566</v>
      </c>
      <c r="X9" s="148" t="s">
        <v>31</v>
      </c>
    </row>
    <row r="10" spans="1:24">
      <c r="B10" s="90" t="s">
        <v>35</v>
      </c>
      <c r="C10" s="9"/>
      <c r="D10" s="52" t="s">
        <v>268</v>
      </c>
      <c r="E10" s="53"/>
      <c r="F10" s="53"/>
      <c r="G10" s="84" t="s">
        <v>269</v>
      </c>
      <c r="H10" s="85"/>
      <c r="I10" s="86"/>
      <c r="J10" s="54" t="s">
        <v>220</v>
      </c>
      <c r="K10" s="55"/>
      <c r="L10" s="56"/>
      <c r="M10" s="2"/>
      <c r="N10" s="44" t="s">
        <v>557</v>
      </c>
      <c r="O10" s="45">
        <v>38952</v>
      </c>
      <c r="P10" s="16" t="s">
        <v>75</v>
      </c>
      <c r="Q10" s="13"/>
      <c r="R10" s="13"/>
      <c r="S10" s="13"/>
      <c r="T10" s="13"/>
      <c r="U10" s="13"/>
      <c r="V10" s="46"/>
      <c r="W10" s="47"/>
      <c r="X10" s="149" t="s">
        <v>110</v>
      </c>
    </row>
    <row r="11" spans="1:24">
      <c r="B11" s="57"/>
      <c r="C11" s="2"/>
      <c r="D11" s="2"/>
      <c r="E11" s="2"/>
      <c r="F11" s="13"/>
      <c r="G11" s="13"/>
      <c r="H11" s="13"/>
      <c r="I11" s="2"/>
      <c r="J11" s="2"/>
      <c r="K11" s="2"/>
      <c r="L11" s="2"/>
      <c r="M11" s="2"/>
      <c r="N11" s="44" t="s">
        <v>295</v>
      </c>
      <c r="O11" s="45">
        <v>39014</v>
      </c>
      <c r="P11" s="16" t="s">
        <v>75</v>
      </c>
      <c r="Q11" s="13">
        <v>4</v>
      </c>
      <c r="R11" s="13">
        <v>0</v>
      </c>
      <c r="S11" s="13">
        <v>0</v>
      </c>
      <c r="T11" s="13">
        <v>3</v>
      </c>
      <c r="U11" s="13">
        <v>6</v>
      </c>
      <c r="V11" s="46">
        <v>0.46200000000000002</v>
      </c>
      <c r="W11" s="47" t="s">
        <v>320</v>
      </c>
      <c r="X11" s="149" t="s">
        <v>110</v>
      </c>
    </row>
    <row r="12" spans="1:24">
      <c r="B12" s="57" t="s">
        <v>612</v>
      </c>
      <c r="C12" s="2"/>
      <c r="D12" s="2"/>
      <c r="E12" s="2"/>
      <c r="F12" s="13"/>
      <c r="G12" s="13"/>
      <c r="H12" s="13"/>
      <c r="I12" s="2"/>
      <c r="J12" s="2"/>
      <c r="K12" s="2"/>
      <c r="L12" s="2"/>
      <c r="M12" s="2"/>
      <c r="N12" s="49" t="s">
        <v>199</v>
      </c>
      <c r="O12" s="50">
        <v>37665</v>
      </c>
      <c r="P12" s="4" t="s">
        <v>187</v>
      </c>
      <c r="Q12" s="13">
        <v>54</v>
      </c>
      <c r="R12" s="13">
        <v>0</v>
      </c>
      <c r="S12" s="13">
        <v>12</v>
      </c>
      <c r="T12" s="13">
        <v>8</v>
      </c>
      <c r="U12" s="13">
        <v>67</v>
      </c>
      <c r="V12" s="46">
        <v>0.441</v>
      </c>
      <c r="W12" s="47" t="s">
        <v>320</v>
      </c>
      <c r="X12" s="149" t="s">
        <v>188</v>
      </c>
    </row>
    <row r="13" spans="1:24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9" t="s">
        <v>166</v>
      </c>
      <c r="O13" s="50">
        <v>38145</v>
      </c>
      <c r="P13" s="4" t="s">
        <v>61</v>
      </c>
      <c r="Q13" s="13">
        <v>42</v>
      </c>
      <c r="R13" s="13">
        <v>1</v>
      </c>
      <c r="S13" s="13">
        <v>12</v>
      </c>
      <c r="T13" s="13">
        <v>8</v>
      </c>
      <c r="U13" s="13">
        <v>42</v>
      </c>
      <c r="V13" s="46">
        <v>0.49399999999999999</v>
      </c>
      <c r="W13" s="47" t="s">
        <v>320</v>
      </c>
      <c r="X13" s="149" t="s">
        <v>613</v>
      </c>
    </row>
    <row r="14" spans="1:24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4" t="s">
        <v>74</v>
      </c>
      <c r="O14" s="45">
        <v>36330</v>
      </c>
      <c r="P14" s="4" t="s">
        <v>67</v>
      </c>
      <c r="Q14" s="13">
        <v>112</v>
      </c>
      <c r="R14" s="13">
        <v>4</v>
      </c>
      <c r="S14" s="13">
        <v>246</v>
      </c>
      <c r="T14" s="13">
        <v>23</v>
      </c>
      <c r="U14" s="13">
        <v>452</v>
      </c>
      <c r="V14" s="46">
        <v>0.55600000000000005</v>
      </c>
      <c r="W14" s="47" t="s">
        <v>320</v>
      </c>
      <c r="X14" s="149" t="s">
        <v>68</v>
      </c>
    </row>
    <row r="15" spans="1:24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4" t="s">
        <v>285</v>
      </c>
      <c r="O15" s="45">
        <v>39079</v>
      </c>
      <c r="P15" s="16" t="s">
        <v>151</v>
      </c>
      <c r="Q15" s="13">
        <v>11</v>
      </c>
      <c r="R15" s="13">
        <v>0</v>
      </c>
      <c r="S15" s="13">
        <v>6</v>
      </c>
      <c r="T15" s="13">
        <v>4</v>
      </c>
      <c r="U15" s="13">
        <v>26</v>
      </c>
      <c r="V15" s="46">
        <v>0.49099999999999999</v>
      </c>
      <c r="W15" s="47" t="s">
        <v>611</v>
      </c>
      <c r="X15" s="149" t="s">
        <v>130</v>
      </c>
    </row>
    <row r="16" spans="1:24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4" t="s">
        <v>717</v>
      </c>
      <c r="O16" s="45">
        <v>38921</v>
      </c>
      <c r="P16" s="16" t="s">
        <v>75</v>
      </c>
      <c r="Q16" s="13"/>
      <c r="R16" s="13"/>
      <c r="S16" s="13"/>
      <c r="T16" s="13"/>
      <c r="U16" s="13"/>
      <c r="V16" s="46"/>
      <c r="W16" s="47" t="s">
        <v>320</v>
      </c>
      <c r="X16" s="149" t="s">
        <v>110</v>
      </c>
    </row>
    <row r="17" spans="1:24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9" t="s">
        <v>77</v>
      </c>
      <c r="O17" s="58">
        <v>35126</v>
      </c>
      <c r="P17" s="20" t="s">
        <v>75</v>
      </c>
      <c r="Q17" s="13">
        <v>67</v>
      </c>
      <c r="R17" s="13">
        <v>2</v>
      </c>
      <c r="S17" s="13">
        <v>37</v>
      </c>
      <c r="T17" s="13">
        <v>23</v>
      </c>
      <c r="U17" s="13">
        <v>109</v>
      </c>
      <c r="V17" s="46">
        <v>0.48</v>
      </c>
      <c r="W17" s="47" t="s">
        <v>320</v>
      </c>
      <c r="X17" s="149" t="s">
        <v>68</v>
      </c>
    </row>
    <row r="18" spans="1:24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4" t="s">
        <v>297</v>
      </c>
      <c r="O18" s="45">
        <v>36829</v>
      </c>
      <c r="P18" s="16" t="s">
        <v>264</v>
      </c>
      <c r="Q18" s="13">
        <v>16</v>
      </c>
      <c r="R18" s="13">
        <v>0</v>
      </c>
      <c r="S18" s="13">
        <v>1</v>
      </c>
      <c r="T18" s="13">
        <v>16</v>
      </c>
      <c r="U18" s="13">
        <v>35</v>
      </c>
      <c r="V18" s="46">
        <v>0.55600000000000005</v>
      </c>
      <c r="W18" s="47" t="s">
        <v>320</v>
      </c>
      <c r="X18" s="149" t="s">
        <v>265</v>
      </c>
    </row>
    <row r="19" spans="1:24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4" t="s">
        <v>200</v>
      </c>
      <c r="O19" s="45">
        <v>37286</v>
      </c>
      <c r="P19" s="4" t="s">
        <v>79</v>
      </c>
      <c r="Q19" s="13">
        <v>51</v>
      </c>
      <c r="R19" s="13">
        <v>9</v>
      </c>
      <c r="S19" s="13">
        <v>13</v>
      </c>
      <c r="T19" s="13">
        <v>60</v>
      </c>
      <c r="U19" s="13">
        <v>167</v>
      </c>
      <c r="V19" s="46">
        <v>0.58799999999999997</v>
      </c>
      <c r="W19" s="47" t="s">
        <v>320</v>
      </c>
      <c r="X19" s="149" t="s">
        <v>68</v>
      </c>
    </row>
    <row r="20" spans="1:24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9" t="s">
        <v>296</v>
      </c>
      <c r="O20" s="50">
        <v>39355</v>
      </c>
      <c r="P20" s="4" t="s">
        <v>79</v>
      </c>
      <c r="Q20" s="13">
        <v>22</v>
      </c>
      <c r="R20" s="13">
        <v>0</v>
      </c>
      <c r="S20" s="13">
        <v>0</v>
      </c>
      <c r="T20" s="13">
        <v>24</v>
      </c>
      <c r="U20" s="13">
        <v>58</v>
      </c>
      <c r="V20" s="46">
        <v>0.61699999999999999</v>
      </c>
      <c r="W20" s="47" t="s">
        <v>320</v>
      </c>
      <c r="X20" s="149" t="s">
        <v>68</v>
      </c>
    </row>
    <row r="21" spans="1:24">
      <c r="A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4" t="s">
        <v>125</v>
      </c>
      <c r="O21" s="50">
        <v>38258</v>
      </c>
      <c r="P21" s="4" t="s">
        <v>79</v>
      </c>
      <c r="Q21" s="13">
        <v>83</v>
      </c>
      <c r="R21" s="13">
        <v>5</v>
      </c>
      <c r="S21" s="13">
        <v>30</v>
      </c>
      <c r="T21" s="13">
        <v>36</v>
      </c>
      <c r="U21" s="13">
        <v>257</v>
      </c>
      <c r="V21" s="46">
        <v>0.60199999999999998</v>
      </c>
      <c r="W21" s="47" t="s">
        <v>320</v>
      </c>
      <c r="X21" s="149" t="s">
        <v>68</v>
      </c>
    </row>
    <row r="22" spans="1:24">
      <c r="A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9" t="s">
        <v>351</v>
      </c>
      <c r="O22" s="50">
        <v>38883</v>
      </c>
      <c r="P22" s="4" t="s">
        <v>352</v>
      </c>
      <c r="Q22" s="13"/>
      <c r="R22" s="13"/>
      <c r="S22" s="13"/>
      <c r="T22" s="13"/>
      <c r="U22" s="13"/>
      <c r="V22" s="46"/>
      <c r="W22" s="47"/>
      <c r="X22" s="149" t="s">
        <v>265</v>
      </c>
    </row>
    <row r="23" spans="1:24">
      <c r="A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59" t="s">
        <v>558</v>
      </c>
      <c r="O23" s="45">
        <v>39044</v>
      </c>
      <c r="P23" s="16" t="s">
        <v>72</v>
      </c>
      <c r="Q23" s="13">
        <v>5</v>
      </c>
      <c r="R23" s="13">
        <v>0</v>
      </c>
      <c r="S23" s="13">
        <v>4</v>
      </c>
      <c r="T23" s="13">
        <v>4</v>
      </c>
      <c r="U23" s="13">
        <v>15</v>
      </c>
      <c r="V23" s="46">
        <v>0.65200000000000002</v>
      </c>
      <c r="W23" s="47" t="s">
        <v>320</v>
      </c>
      <c r="X23" s="149" t="s">
        <v>608</v>
      </c>
    </row>
    <row r="24" spans="1:24">
      <c r="A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4" t="s">
        <v>191</v>
      </c>
      <c r="O24" s="45">
        <v>38564</v>
      </c>
      <c r="P24" s="16" t="s">
        <v>75</v>
      </c>
      <c r="Q24" s="13">
        <v>56</v>
      </c>
      <c r="R24" s="13">
        <v>3</v>
      </c>
      <c r="S24" s="13">
        <v>13</v>
      </c>
      <c r="T24" s="13">
        <v>83</v>
      </c>
      <c r="U24" s="13">
        <v>207</v>
      </c>
      <c r="V24" s="65">
        <v>0.60899999999999999</v>
      </c>
      <c r="W24" s="47" t="s">
        <v>320</v>
      </c>
      <c r="X24" s="150" t="s">
        <v>110</v>
      </c>
    </row>
    <row r="25" spans="1:24" ht="15.75">
      <c r="A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102"/>
      <c r="N25" s="24"/>
      <c r="O25" s="11"/>
      <c r="P25" s="31"/>
      <c r="Q25" s="60"/>
      <c r="R25" s="60"/>
      <c r="S25" s="60"/>
      <c r="T25" s="60"/>
      <c r="U25" s="60"/>
      <c r="V25" s="60"/>
      <c r="W25" s="68"/>
      <c r="X25" s="69"/>
    </row>
    <row r="26" spans="1:24" ht="15.75">
      <c r="A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102"/>
      <c r="N26" s="12" t="s">
        <v>221</v>
      </c>
      <c r="O26" s="11"/>
      <c r="P26" s="31"/>
      <c r="Q26" s="11"/>
      <c r="R26" s="11"/>
      <c r="S26" s="11"/>
      <c r="T26" s="11"/>
      <c r="U26" s="11"/>
      <c r="V26" s="11"/>
      <c r="W26" s="11"/>
      <c r="X26" s="151"/>
    </row>
    <row r="27" spans="1:24" ht="15.75">
      <c r="A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102"/>
      <c r="N27" s="14" t="s">
        <v>5</v>
      </c>
      <c r="O27" s="41" t="s">
        <v>0</v>
      </c>
      <c r="P27" s="3" t="s">
        <v>3</v>
      </c>
      <c r="Q27" s="6" t="s">
        <v>13</v>
      </c>
      <c r="R27" s="6" t="s">
        <v>14</v>
      </c>
      <c r="S27" s="6" t="s">
        <v>15</v>
      </c>
      <c r="T27" s="6" t="s">
        <v>16</v>
      </c>
      <c r="U27" s="6" t="s">
        <v>17</v>
      </c>
      <c r="V27" s="42" t="s">
        <v>18</v>
      </c>
      <c r="W27" s="71" t="s">
        <v>222</v>
      </c>
      <c r="X27" s="152" t="s">
        <v>223</v>
      </c>
    </row>
    <row r="28" spans="1:24" ht="15.75">
      <c r="A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102"/>
      <c r="N28" s="44" t="s">
        <v>74</v>
      </c>
      <c r="O28" s="45">
        <v>36330</v>
      </c>
      <c r="P28" s="4" t="s">
        <v>67</v>
      </c>
      <c r="Q28" s="13">
        <v>3</v>
      </c>
      <c r="R28" s="13">
        <v>0</v>
      </c>
      <c r="S28" s="13">
        <v>0</v>
      </c>
      <c r="T28" s="13">
        <v>0</v>
      </c>
      <c r="U28" s="13">
        <v>5</v>
      </c>
      <c r="V28" s="46">
        <v>0.38500000000000001</v>
      </c>
      <c r="W28" s="72">
        <v>2.7</v>
      </c>
      <c r="X28" s="153" t="s">
        <v>320</v>
      </c>
    </row>
    <row r="29" spans="1:24" ht="15.75">
      <c r="A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102"/>
      <c r="N29" s="24"/>
      <c r="O29" s="11"/>
      <c r="P29" s="24"/>
      <c r="Q29" s="11"/>
      <c r="R29" s="11"/>
      <c r="S29" s="11"/>
      <c r="T29" s="11"/>
      <c r="U29" s="11"/>
      <c r="V29" s="11"/>
      <c r="W29" s="11"/>
      <c r="X29" s="24"/>
    </row>
    <row r="30" spans="1:24" ht="15.75">
      <c r="A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102"/>
      <c r="P30" s="2"/>
      <c r="X30" s="2"/>
    </row>
    <row r="31" spans="1:24" ht="15.75">
      <c r="A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102"/>
      <c r="P31" s="2"/>
      <c r="X31" s="2"/>
    </row>
    <row r="32" spans="1:24" ht="15.75">
      <c r="C32" s="2"/>
      <c r="D32" s="2"/>
      <c r="E32" s="2"/>
      <c r="F32" s="2"/>
      <c r="G32" s="2"/>
      <c r="H32" s="2"/>
      <c r="I32" s="2"/>
      <c r="J32" s="2"/>
      <c r="K32" s="2"/>
      <c r="L32" s="2"/>
      <c r="M32" s="102"/>
      <c r="P32" s="2"/>
      <c r="X32" s="2"/>
    </row>
    <row r="33" spans="3:24" ht="15.75">
      <c r="C33" s="2"/>
      <c r="D33" s="2"/>
      <c r="E33" s="2"/>
      <c r="F33" s="2"/>
      <c r="G33" s="2"/>
      <c r="H33" s="2"/>
      <c r="I33" s="2"/>
      <c r="J33" s="2"/>
      <c r="K33" s="2"/>
      <c r="L33" s="2"/>
      <c r="M33" s="102"/>
      <c r="P33" s="2"/>
      <c r="X33" s="2"/>
    </row>
    <row r="34" spans="3:24" ht="15.75">
      <c r="C34" s="2"/>
      <c r="D34" s="2"/>
      <c r="E34" s="2"/>
      <c r="F34" s="2"/>
      <c r="G34" s="2"/>
      <c r="H34" s="2"/>
      <c r="I34" s="2"/>
      <c r="J34" s="2"/>
      <c r="K34" s="2"/>
      <c r="L34" s="2"/>
      <c r="M34" s="102"/>
      <c r="P34" s="2"/>
      <c r="X34" s="2"/>
    </row>
    <row r="35" spans="3:24" ht="15.75">
      <c r="C35" s="2"/>
      <c r="D35" s="2"/>
      <c r="E35" s="2"/>
      <c r="F35" s="2"/>
      <c r="G35" s="2"/>
      <c r="H35" s="2"/>
      <c r="I35" s="2"/>
      <c r="J35" s="2"/>
      <c r="K35" s="2"/>
      <c r="L35" s="2"/>
      <c r="M35" s="102"/>
      <c r="P35" s="2"/>
      <c r="X35" s="2"/>
    </row>
    <row r="36" spans="3:24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P36" s="2"/>
      <c r="X36" s="2"/>
    </row>
    <row r="37" spans="3:24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P37" s="2"/>
      <c r="X37" s="2"/>
    </row>
    <row r="38" spans="3:24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P38" s="2"/>
      <c r="X38" s="2"/>
    </row>
    <row r="39" spans="3:24">
      <c r="C39" s="26"/>
      <c r="D39" s="26"/>
      <c r="E39" s="2"/>
      <c r="F39" s="2"/>
      <c r="G39" s="2"/>
      <c r="H39" s="2"/>
      <c r="I39" s="2"/>
      <c r="J39" s="2"/>
      <c r="K39" s="2"/>
      <c r="L39" s="2"/>
      <c r="M39" s="2"/>
      <c r="P39" s="2"/>
      <c r="X39" s="2"/>
    </row>
    <row r="40" spans="3:24">
      <c r="C40" s="26"/>
      <c r="D40" s="26"/>
      <c r="E40" s="2"/>
      <c r="F40" s="2"/>
      <c r="G40" s="2"/>
      <c r="H40" s="2"/>
      <c r="I40" s="2"/>
      <c r="J40" s="2"/>
      <c r="K40" s="2"/>
      <c r="L40" s="2"/>
      <c r="M40" s="2"/>
      <c r="P40" s="2"/>
      <c r="X40" s="2"/>
    </row>
    <row r="41" spans="3:24">
      <c r="C41" s="26"/>
      <c r="D41" s="26"/>
      <c r="E41" s="2"/>
      <c r="F41" s="2"/>
      <c r="G41" s="2"/>
      <c r="H41" s="2"/>
      <c r="I41" s="2"/>
      <c r="J41" s="2"/>
      <c r="K41" s="2"/>
      <c r="L41" s="2"/>
      <c r="M41" s="2"/>
      <c r="P41" s="2"/>
      <c r="X41" s="2"/>
    </row>
    <row r="42" spans="3:24">
      <c r="C42" s="26"/>
      <c r="D42" s="26"/>
      <c r="E42" s="2"/>
      <c r="F42" s="2"/>
      <c r="G42" s="2"/>
      <c r="H42" s="2"/>
      <c r="I42" s="2"/>
      <c r="J42" s="2"/>
      <c r="K42" s="2"/>
      <c r="L42" s="2"/>
      <c r="M42" s="2"/>
      <c r="P42" s="2"/>
      <c r="X42" s="2"/>
    </row>
    <row r="43" spans="3:24">
      <c r="C43" s="26"/>
      <c r="D43" s="26"/>
      <c r="E43" s="2"/>
      <c r="F43" s="2"/>
      <c r="G43" s="2"/>
      <c r="H43" s="2"/>
      <c r="I43" s="2"/>
      <c r="J43" s="2"/>
      <c r="K43" s="2"/>
      <c r="L43" s="2"/>
      <c r="M43" s="2"/>
      <c r="P43" s="2"/>
      <c r="X43" s="2"/>
    </row>
    <row r="44" spans="3:24">
      <c r="C44" s="26"/>
      <c r="D44" s="26"/>
      <c r="E44" s="2"/>
      <c r="F44" s="2"/>
      <c r="G44" s="2"/>
      <c r="H44" s="2"/>
      <c r="I44" s="2"/>
      <c r="J44" s="2"/>
      <c r="K44" s="2"/>
      <c r="L44" s="2"/>
      <c r="M44" s="2"/>
      <c r="P44" s="2"/>
      <c r="X44" s="2"/>
    </row>
    <row r="45" spans="3:24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P45" s="2"/>
      <c r="X45" s="2"/>
    </row>
    <row r="46" spans="3:24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P46" s="2"/>
      <c r="X46" s="2"/>
    </row>
    <row r="47" spans="3:24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P47" s="2"/>
      <c r="X47" s="2"/>
    </row>
    <row r="48" spans="3:24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P48" s="2"/>
      <c r="X48" s="2"/>
    </row>
    <row r="49" spans="3:24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P49" s="2"/>
      <c r="X49" s="2"/>
    </row>
    <row r="50" spans="3:24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P50" s="2"/>
      <c r="X50" s="2"/>
    </row>
    <row r="51" spans="3:24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P51" s="2"/>
      <c r="X51" s="2"/>
    </row>
    <row r="52" spans="3:24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P52" s="2"/>
      <c r="X52" s="2"/>
    </row>
    <row r="53" spans="3:24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P53" s="2"/>
      <c r="X53" s="2"/>
    </row>
    <row r="54" spans="3:24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P54" s="2"/>
      <c r="X54" s="2"/>
    </row>
    <row r="55" spans="3:24">
      <c r="C55" s="26"/>
      <c r="D55" s="26"/>
      <c r="E55" s="2"/>
      <c r="F55" s="2"/>
      <c r="G55" s="2"/>
      <c r="H55" s="2"/>
      <c r="I55" s="2"/>
      <c r="J55" s="2"/>
      <c r="K55" s="2"/>
      <c r="L55" s="2"/>
      <c r="M55" s="2"/>
      <c r="P55" s="2"/>
      <c r="X55" s="2"/>
    </row>
    <row r="56" spans="3:24">
      <c r="C56" s="26"/>
      <c r="D56" s="26"/>
      <c r="E56" s="2"/>
      <c r="F56" s="2"/>
      <c r="G56" s="2"/>
      <c r="H56" s="2"/>
      <c r="I56" s="2"/>
      <c r="J56" s="2"/>
      <c r="K56" s="2"/>
      <c r="L56" s="2"/>
      <c r="M56" s="2"/>
      <c r="P56" s="2"/>
      <c r="X56" s="2"/>
    </row>
    <row r="57" spans="3:24">
      <c r="C57" s="26"/>
      <c r="D57" s="26"/>
      <c r="E57" s="2"/>
      <c r="F57" s="2"/>
      <c r="G57" s="2"/>
      <c r="H57" s="2"/>
      <c r="I57" s="2"/>
      <c r="J57" s="2"/>
      <c r="K57" s="2"/>
      <c r="L57" s="2"/>
      <c r="M57" s="2"/>
      <c r="P57" s="2"/>
      <c r="X57" s="2"/>
    </row>
    <row r="58" spans="3:24">
      <c r="C58" s="100"/>
      <c r="D58" s="100"/>
      <c r="E58" s="2"/>
      <c r="F58" s="2"/>
      <c r="G58" s="2"/>
      <c r="H58" s="2"/>
      <c r="I58" s="2"/>
      <c r="J58" s="2"/>
      <c r="K58" s="2"/>
      <c r="L58" s="2"/>
      <c r="M58" s="2"/>
      <c r="P58" s="2"/>
      <c r="X58" s="2"/>
    </row>
    <row r="59" spans="3:24">
      <c r="C59" s="99" t="s">
        <v>298</v>
      </c>
      <c r="D59" s="99" t="s">
        <v>299</v>
      </c>
      <c r="P59" s="2"/>
      <c r="X59" s="2"/>
    </row>
    <row r="60" spans="3:24">
      <c r="C60" s="100" t="s">
        <v>300</v>
      </c>
      <c r="D60" s="101">
        <v>442055667</v>
      </c>
      <c r="P60" s="2"/>
      <c r="X60" s="2"/>
    </row>
    <row r="61" spans="3:24">
      <c r="C61" s="100" t="s">
        <v>301</v>
      </c>
      <c r="D61" s="101">
        <v>405234551</v>
      </c>
      <c r="P61" s="2"/>
      <c r="X61" s="2"/>
    </row>
    <row r="62" spans="3:24">
      <c r="P62" s="2"/>
      <c r="X62" s="2"/>
    </row>
    <row r="63" spans="3:24">
      <c r="P63" s="2"/>
      <c r="X63" s="2"/>
    </row>
  </sheetData>
  <sortState xmlns:xlrd2="http://schemas.microsoft.com/office/spreadsheetml/2017/richdata2" ref="N22:X23">
    <sortCondition ref="N22:N23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B70D1-4DB9-443D-9484-2FCF65FD6060}">
  <dimension ref="A1:Z59"/>
  <sheetViews>
    <sheetView zoomScale="97" zoomScaleNormal="97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0.5703125" style="2" customWidth="1"/>
    <col min="15" max="15" width="13.140625" style="6" customWidth="1"/>
    <col min="16" max="16" width="12.85546875" style="3" bestFit="1" customWidth="1"/>
    <col min="17" max="21" width="6.7109375" style="6" customWidth="1"/>
    <col min="22" max="23" width="9.85546875" style="6" customWidth="1"/>
    <col min="24" max="24" width="11" style="6" customWidth="1"/>
    <col min="25" max="25" width="22.28515625" style="22" bestFit="1" customWidth="1"/>
    <col min="26" max="16384" width="9.140625" style="1"/>
  </cols>
  <sheetData>
    <row r="1" spans="1:25" ht="18.75">
      <c r="A1" s="76"/>
      <c r="B1" s="75" t="s">
        <v>57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7"/>
      <c r="N1" s="78"/>
      <c r="O1" s="79"/>
      <c r="P1" s="15"/>
      <c r="Q1" s="80"/>
      <c r="R1" s="80"/>
      <c r="S1" s="80"/>
      <c r="T1" s="80"/>
      <c r="U1" s="80"/>
      <c r="V1" s="80"/>
      <c r="W1" s="80"/>
      <c r="X1" s="80"/>
      <c r="Y1" s="76"/>
    </row>
    <row r="2" spans="1:25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329</v>
      </c>
      <c r="P2" s="31"/>
      <c r="Q2" s="11"/>
      <c r="R2" s="11"/>
      <c r="S2" s="11"/>
      <c r="T2" s="11"/>
      <c r="U2" s="11"/>
      <c r="V2" s="11"/>
      <c r="W2" s="11"/>
      <c r="X2" s="11"/>
      <c r="Y2" s="25"/>
    </row>
    <row r="3" spans="1:25">
      <c r="B3" s="104" t="s">
        <v>39</v>
      </c>
      <c r="C3" s="106">
        <v>4</v>
      </c>
      <c r="D3" s="106">
        <v>7</v>
      </c>
      <c r="E3" s="106">
        <v>9</v>
      </c>
      <c r="F3" s="106">
        <v>5</v>
      </c>
      <c r="G3" s="107">
        <v>9</v>
      </c>
      <c r="H3" s="106">
        <v>2</v>
      </c>
      <c r="I3" s="106">
        <v>1</v>
      </c>
      <c r="J3" s="107">
        <v>4</v>
      </c>
      <c r="K3" s="107">
        <v>2</v>
      </c>
      <c r="L3" s="107">
        <v>4</v>
      </c>
      <c r="M3" s="2"/>
      <c r="N3" s="118" t="s">
        <v>116</v>
      </c>
      <c r="O3" s="119" t="s">
        <v>673</v>
      </c>
      <c r="Y3" s="33"/>
    </row>
    <row r="4" spans="1:25">
      <c r="B4" s="104" t="s">
        <v>40</v>
      </c>
      <c r="C4" s="107">
        <v>3</v>
      </c>
      <c r="D4" s="107">
        <v>2</v>
      </c>
      <c r="E4" s="107">
        <v>2</v>
      </c>
      <c r="F4" s="107">
        <v>1</v>
      </c>
      <c r="G4" s="108">
        <v>7</v>
      </c>
      <c r="H4" s="108">
        <v>6</v>
      </c>
      <c r="I4" s="108">
        <v>7</v>
      </c>
      <c r="J4" s="107">
        <v>2</v>
      </c>
      <c r="K4" s="107">
        <v>2</v>
      </c>
      <c r="L4" s="107">
        <v>4</v>
      </c>
      <c r="M4" s="2"/>
      <c r="N4" s="118" t="s">
        <v>115</v>
      </c>
      <c r="O4" s="119" t="s">
        <v>721</v>
      </c>
      <c r="Y4" s="33"/>
    </row>
    <row r="5" spans="1:25">
      <c r="B5" s="104" t="s">
        <v>41</v>
      </c>
      <c r="C5" s="107">
        <v>2</v>
      </c>
      <c r="D5" s="106">
        <v>1</v>
      </c>
      <c r="E5" s="107">
        <v>3</v>
      </c>
      <c r="F5" s="107">
        <v>4</v>
      </c>
      <c r="G5" s="107">
        <v>4</v>
      </c>
      <c r="H5" s="106" t="s">
        <v>36</v>
      </c>
      <c r="I5" s="106" t="s">
        <v>36</v>
      </c>
      <c r="J5" s="106" t="s">
        <v>36</v>
      </c>
      <c r="K5" s="106" t="s">
        <v>36</v>
      </c>
      <c r="L5" s="109" t="s">
        <v>36</v>
      </c>
      <c r="M5" s="2"/>
      <c r="N5" s="118" t="s">
        <v>1</v>
      </c>
      <c r="O5" s="119" t="s">
        <v>330</v>
      </c>
      <c r="Y5" s="33"/>
    </row>
    <row r="6" spans="1:25">
      <c r="B6" s="104" t="s">
        <v>42</v>
      </c>
      <c r="C6" s="109" t="s">
        <v>36</v>
      </c>
      <c r="D6" s="106">
        <v>1</v>
      </c>
      <c r="E6" s="107">
        <v>2</v>
      </c>
      <c r="F6" s="107">
        <v>3</v>
      </c>
      <c r="G6" s="107">
        <v>3</v>
      </c>
      <c r="H6" s="107">
        <v>4</v>
      </c>
      <c r="I6" s="107">
        <v>5</v>
      </c>
      <c r="J6" s="107">
        <v>2</v>
      </c>
      <c r="K6" s="107">
        <v>3</v>
      </c>
      <c r="L6" s="107">
        <v>4</v>
      </c>
      <c r="M6" s="2"/>
      <c r="N6" s="120" t="s">
        <v>2</v>
      </c>
      <c r="O6" s="121" t="s">
        <v>331</v>
      </c>
      <c r="P6" s="36"/>
      <c r="Q6" s="37"/>
      <c r="R6" s="37"/>
      <c r="S6" s="37"/>
      <c r="T6" s="37"/>
      <c r="U6" s="37"/>
      <c r="V6" s="37"/>
      <c r="W6" s="37"/>
      <c r="X6" s="37"/>
      <c r="Y6" s="38"/>
    </row>
    <row r="7" spans="1:25">
      <c r="B7" s="104" t="s">
        <v>118</v>
      </c>
      <c r="C7" s="107">
        <v>2</v>
      </c>
      <c r="D7" s="107">
        <v>1</v>
      </c>
      <c r="E7" s="107">
        <v>1</v>
      </c>
      <c r="F7" s="107">
        <v>3</v>
      </c>
      <c r="G7" s="91"/>
      <c r="H7" s="91"/>
      <c r="I7" s="91"/>
      <c r="J7" s="91"/>
      <c r="K7" s="91"/>
      <c r="L7" s="92"/>
      <c r="M7" s="2"/>
      <c r="Y7" s="2"/>
    </row>
    <row r="8" spans="1:25">
      <c r="M8" s="2"/>
      <c r="N8" s="12" t="s">
        <v>332</v>
      </c>
      <c r="O8" s="11"/>
      <c r="P8" s="24"/>
      <c r="Q8" s="11"/>
      <c r="R8" s="11"/>
      <c r="S8" s="11"/>
      <c r="T8" s="11"/>
      <c r="U8" s="11"/>
      <c r="V8" s="11"/>
      <c r="W8" s="11"/>
      <c r="X8" s="39"/>
      <c r="Y8" s="40"/>
    </row>
    <row r="9" spans="1:25">
      <c r="B9" s="90" t="s">
        <v>35</v>
      </c>
      <c r="C9" s="9"/>
      <c r="D9" s="52" t="s">
        <v>268</v>
      </c>
      <c r="E9" s="53"/>
      <c r="F9" s="53"/>
      <c r="G9" s="84" t="s">
        <v>269</v>
      </c>
      <c r="H9" s="85"/>
      <c r="I9" s="86"/>
      <c r="J9" s="54" t="s">
        <v>220</v>
      </c>
      <c r="K9" s="55"/>
      <c r="L9" s="56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565</v>
      </c>
      <c r="X9" s="96" t="s">
        <v>31</v>
      </c>
      <c r="Y9" s="43"/>
    </row>
    <row r="10" spans="1:25">
      <c r="B10" s="122"/>
      <c r="C10" s="2"/>
      <c r="D10" s="2"/>
      <c r="E10" s="2"/>
      <c r="F10" s="13"/>
      <c r="G10" s="13"/>
      <c r="H10" s="13"/>
      <c r="I10" s="2"/>
      <c r="J10" s="2"/>
      <c r="K10" s="2"/>
      <c r="L10" s="2"/>
      <c r="M10" s="2"/>
      <c r="N10" s="123" t="s">
        <v>718</v>
      </c>
      <c r="O10" s="124">
        <v>36027</v>
      </c>
      <c r="P10" s="4" t="s">
        <v>327</v>
      </c>
      <c r="Q10" s="13">
        <v>21</v>
      </c>
      <c r="R10" s="13">
        <v>3</v>
      </c>
      <c r="S10" s="13">
        <v>45</v>
      </c>
      <c r="T10" s="13">
        <v>10</v>
      </c>
      <c r="U10" s="13">
        <v>90</v>
      </c>
      <c r="V10" s="46">
        <f>PRODUCT(90/163)</f>
        <v>0.55214723926380371</v>
      </c>
      <c r="W10" s="47" t="s">
        <v>675</v>
      </c>
      <c r="X10" s="47" t="s">
        <v>86</v>
      </c>
      <c r="Y10" s="48"/>
    </row>
    <row r="11" spans="1:25">
      <c r="B11" s="122"/>
      <c r="C11" s="2"/>
      <c r="D11" s="2"/>
      <c r="E11" s="2"/>
      <c r="F11" s="13"/>
      <c r="G11" s="13"/>
      <c r="H11" s="13"/>
      <c r="I11" s="2"/>
      <c r="J11" s="2"/>
      <c r="K11" s="2"/>
      <c r="L11" s="2"/>
      <c r="M11" s="2"/>
      <c r="N11" s="123" t="s">
        <v>664</v>
      </c>
      <c r="O11" s="124">
        <v>39359</v>
      </c>
      <c r="P11" s="4" t="s">
        <v>327</v>
      </c>
      <c r="Q11" s="13">
        <v>1</v>
      </c>
      <c r="R11" s="13">
        <v>0</v>
      </c>
      <c r="S11" s="13">
        <v>0</v>
      </c>
      <c r="T11" s="13">
        <v>0</v>
      </c>
      <c r="U11" s="13">
        <v>4</v>
      </c>
      <c r="V11" s="46">
        <v>0.5</v>
      </c>
      <c r="W11" s="47" t="s">
        <v>680</v>
      </c>
      <c r="X11" s="47" t="s">
        <v>86</v>
      </c>
      <c r="Y11" s="48"/>
    </row>
    <row r="12" spans="1:25">
      <c r="B12" s="122"/>
      <c r="C12" s="2"/>
      <c r="D12" s="2"/>
      <c r="E12" s="2"/>
      <c r="F12" s="13"/>
      <c r="G12" s="13"/>
      <c r="H12" s="13"/>
      <c r="I12" s="2"/>
      <c r="J12" s="2"/>
      <c r="K12" s="2"/>
      <c r="L12" s="2"/>
      <c r="M12" s="2"/>
      <c r="N12" s="49" t="s">
        <v>335</v>
      </c>
      <c r="O12" s="50">
        <v>39544</v>
      </c>
      <c r="P12" s="4" t="s">
        <v>87</v>
      </c>
      <c r="Q12" s="13"/>
      <c r="R12" s="13"/>
      <c r="S12" s="13"/>
      <c r="T12" s="13"/>
      <c r="U12" s="13"/>
      <c r="V12" s="46"/>
      <c r="W12" s="47" t="s">
        <v>679</v>
      </c>
      <c r="X12" s="47" t="s">
        <v>57</v>
      </c>
      <c r="Y12" s="48"/>
    </row>
    <row r="13" spans="1: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9" t="s">
        <v>662</v>
      </c>
      <c r="O13" s="50">
        <v>39983</v>
      </c>
      <c r="P13" s="4" t="s">
        <v>129</v>
      </c>
      <c r="Q13" s="13"/>
      <c r="R13" s="13"/>
      <c r="S13" s="13"/>
      <c r="T13" s="13"/>
      <c r="U13" s="13"/>
      <c r="V13" s="46"/>
      <c r="W13" s="47" t="s">
        <v>675</v>
      </c>
      <c r="X13" s="47" t="s">
        <v>86</v>
      </c>
      <c r="Y13" s="48"/>
    </row>
    <row r="14" spans="1:25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9" t="s">
        <v>720</v>
      </c>
      <c r="O14" s="50">
        <v>38476</v>
      </c>
      <c r="P14" s="4" t="s">
        <v>91</v>
      </c>
      <c r="Q14" s="13">
        <v>45</v>
      </c>
      <c r="R14" s="13">
        <v>3</v>
      </c>
      <c r="S14" s="13">
        <v>35</v>
      </c>
      <c r="T14" s="13">
        <v>31</v>
      </c>
      <c r="U14" s="13">
        <v>109</v>
      </c>
      <c r="V14" s="46">
        <f>PRODUCT(109/225)</f>
        <v>0.48444444444444446</v>
      </c>
      <c r="W14" s="47" t="s">
        <v>205</v>
      </c>
      <c r="X14" s="47" t="s">
        <v>205</v>
      </c>
      <c r="Y14" s="48"/>
    </row>
    <row r="15" spans="1:25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123" t="s">
        <v>658</v>
      </c>
      <c r="O15" s="124">
        <v>36936</v>
      </c>
      <c r="P15" s="4" t="s">
        <v>106</v>
      </c>
      <c r="Q15" s="13">
        <v>62</v>
      </c>
      <c r="R15" s="13">
        <v>3</v>
      </c>
      <c r="S15" s="13">
        <v>4</v>
      </c>
      <c r="T15" s="13">
        <v>52</v>
      </c>
      <c r="U15" s="13">
        <v>209</v>
      </c>
      <c r="V15" s="46">
        <v>0.64500000000000002</v>
      </c>
      <c r="W15" s="47" t="s">
        <v>632</v>
      </c>
      <c r="X15" s="47" t="s">
        <v>107</v>
      </c>
      <c r="Y15" s="48"/>
    </row>
    <row r="16" spans="1:25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9" t="s">
        <v>665</v>
      </c>
      <c r="O16" s="50">
        <v>36084</v>
      </c>
      <c r="P16" s="4" t="s">
        <v>678</v>
      </c>
      <c r="Q16" s="13">
        <v>142</v>
      </c>
      <c r="R16" s="13">
        <v>0</v>
      </c>
      <c r="S16" s="13">
        <v>11</v>
      </c>
      <c r="T16" s="13">
        <v>28</v>
      </c>
      <c r="U16" s="13">
        <v>224</v>
      </c>
      <c r="V16" s="46">
        <v>0.46100000000000002</v>
      </c>
      <c r="W16" s="47" t="s">
        <v>675</v>
      </c>
      <c r="X16" s="47" t="s">
        <v>370</v>
      </c>
      <c r="Y16" s="48"/>
    </row>
    <row r="17" spans="1:2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9" t="s">
        <v>663</v>
      </c>
      <c r="O17" s="58">
        <v>39443</v>
      </c>
      <c r="P17" s="4" t="s">
        <v>327</v>
      </c>
      <c r="Q17" s="13"/>
      <c r="R17" s="13"/>
      <c r="S17" s="13"/>
      <c r="T17" s="13"/>
      <c r="U17" s="13"/>
      <c r="V17" s="46"/>
      <c r="W17" s="47" t="s">
        <v>680</v>
      </c>
      <c r="X17" s="47" t="s">
        <v>86</v>
      </c>
      <c r="Y17" s="48"/>
    </row>
    <row r="18" spans="1:2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9" t="s">
        <v>180</v>
      </c>
      <c r="O18" s="45">
        <v>35818</v>
      </c>
      <c r="P18" s="4" t="s">
        <v>87</v>
      </c>
      <c r="Q18" s="13">
        <v>28</v>
      </c>
      <c r="R18" s="13">
        <v>2</v>
      </c>
      <c r="S18" s="13">
        <v>7</v>
      </c>
      <c r="T18" s="13">
        <v>19</v>
      </c>
      <c r="U18" s="13">
        <v>69</v>
      </c>
      <c r="V18" s="46">
        <v>0.41599999999999998</v>
      </c>
      <c r="W18" s="47" t="s">
        <v>679</v>
      </c>
      <c r="X18" s="47" t="s">
        <v>57</v>
      </c>
      <c r="Y18" s="48"/>
    </row>
    <row r="19" spans="1:2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23" t="s">
        <v>661</v>
      </c>
      <c r="O19" s="50">
        <v>36836</v>
      </c>
      <c r="P19" s="4" t="s">
        <v>132</v>
      </c>
      <c r="Q19" s="13">
        <v>60</v>
      </c>
      <c r="R19" s="13">
        <v>0</v>
      </c>
      <c r="S19" s="13">
        <v>11</v>
      </c>
      <c r="T19" s="13">
        <v>30</v>
      </c>
      <c r="U19" s="13">
        <v>140</v>
      </c>
      <c r="V19" s="46">
        <v>0.45300000000000001</v>
      </c>
      <c r="W19" s="47" t="s">
        <v>641</v>
      </c>
      <c r="X19" s="47" t="s">
        <v>677</v>
      </c>
      <c r="Y19" s="48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123" t="s">
        <v>666</v>
      </c>
      <c r="O20" s="50">
        <v>36186</v>
      </c>
      <c r="P20" s="4" t="s">
        <v>327</v>
      </c>
      <c r="Q20" s="13">
        <v>29</v>
      </c>
      <c r="R20" s="13">
        <v>2</v>
      </c>
      <c r="S20" s="13">
        <v>33</v>
      </c>
      <c r="T20" s="13">
        <v>5</v>
      </c>
      <c r="U20" s="13">
        <v>100</v>
      </c>
      <c r="V20" s="46">
        <v>0.60299999999999998</v>
      </c>
      <c r="W20" s="47" t="s">
        <v>675</v>
      </c>
      <c r="X20" s="47" t="s">
        <v>86</v>
      </c>
      <c r="Y20" s="48"/>
    </row>
    <row r="21" spans="1:25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123" t="s">
        <v>660</v>
      </c>
      <c r="O21" s="50">
        <v>38815</v>
      </c>
      <c r="P21" s="4" t="s">
        <v>327</v>
      </c>
      <c r="Q21" s="13"/>
      <c r="R21" s="13"/>
      <c r="S21" s="13"/>
      <c r="T21" s="13"/>
      <c r="U21" s="13"/>
      <c r="V21" s="46"/>
      <c r="W21" s="47" t="s">
        <v>680</v>
      </c>
      <c r="X21" s="47" t="s">
        <v>86</v>
      </c>
      <c r="Y21" s="48"/>
    </row>
    <row r="22" spans="1:25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123" t="s">
        <v>719</v>
      </c>
      <c r="O22" s="50">
        <v>37178</v>
      </c>
      <c r="P22" s="4" t="s">
        <v>7</v>
      </c>
      <c r="Q22" s="13"/>
      <c r="R22" s="13"/>
      <c r="S22" s="13"/>
      <c r="T22" s="13"/>
      <c r="U22" s="13"/>
      <c r="V22" s="46"/>
      <c r="W22" s="47" t="s">
        <v>617</v>
      </c>
      <c r="X22" s="47" t="s">
        <v>55</v>
      </c>
      <c r="Y22" s="48"/>
    </row>
    <row r="23" spans="1:25">
      <c r="A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59" t="s">
        <v>337</v>
      </c>
      <c r="O23" s="50">
        <v>38875</v>
      </c>
      <c r="P23" s="4" t="s">
        <v>87</v>
      </c>
      <c r="Q23" s="13"/>
      <c r="R23" s="13"/>
      <c r="S23" s="13"/>
      <c r="T23" s="13"/>
      <c r="U23" s="13"/>
      <c r="V23" s="46"/>
      <c r="W23" s="47" t="s">
        <v>679</v>
      </c>
      <c r="X23" s="47" t="s">
        <v>57</v>
      </c>
      <c r="Y23" s="48"/>
    </row>
    <row r="24" spans="1:25">
      <c r="A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59" t="s">
        <v>659</v>
      </c>
      <c r="O24" s="50">
        <v>39180</v>
      </c>
      <c r="P24" s="4" t="s">
        <v>327</v>
      </c>
      <c r="Q24" s="13">
        <v>2</v>
      </c>
      <c r="R24" s="13">
        <v>0</v>
      </c>
      <c r="S24" s="13">
        <v>0</v>
      </c>
      <c r="T24" s="13">
        <v>4</v>
      </c>
      <c r="U24" s="13">
        <v>6</v>
      </c>
      <c r="V24" s="46">
        <v>0.5</v>
      </c>
      <c r="W24" s="47" t="s">
        <v>680</v>
      </c>
      <c r="X24" s="47" t="s">
        <v>86</v>
      </c>
      <c r="Y24" s="48"/>
    </row>
    <row r="25" spans="1:25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59" t="s">
        <v>338</v>
      </c>
      <c r="O25" s="50">
        <v>38450</v>
      </c>
      <c r="P25" s="4" t="s">
        <v>339</v>
      </c>
      <c r="Q25" s="13"/>
      <c r="R25" s="13"/>
      <c r="S25" s="13"/>
      <c r="T25" s="13"/>
      <c r="U25" s="13"/>
      <c r="V25" s="46"/>
      <c r="W25" s="47" t="s">
        <v>679</v>
      </c>
      <c r="X25" s="47" t="s">
        <v>57</v>
      </c>
      <c r="Y25" s="48"/>
    </row>
    <row r="26" spans="1:25"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59" t="s">
        <v>340</v>
      </c>
      <c r="O26" s="50">
        <v>37750</v>
      </c>
      <c r="P26" s="4" t="s">
        <v>129</v>
      </c>
      <c r="Q26" s="13"/>
      <c r="R26" s="13"/>
      <c r="S26" s="13"/>
      <c r="T26" s="13"/>
      <c r="U26" s="13"/>
      <c r="V26" s="46"/>
      <c r="W26" s="47" t="s">
        <v>679</v>
      </c>
      <c r="X26" s="47" t="s">
        <v>57</v>
      </c>
      <c r="Y26" s="48"/>
    </row>
    <row r="27" spans="1:2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59" t="s">
        <v>772</v>
      </c>
      <c r="O27" s="50">
        <v>36640</v>
      </c>
      <c r="P27" s="4" t="s">
        <v>348</v>
      </c>
      <c r="Q27" s="13">
        <v>58</v>
      </c>
      <c r="R27" s="13">
        <v>1</v>
      </c>
      <c r="S27" s="13">
        <v>15</v>
      </c>
      <c r="T27" s="13">
        <v>26</v>
      </c>
      <c r="U27" s="13">
        <v>149</v>
      </c>
      <c r="V27" s="46">
        <f>PRODUCT(149/293)</f>
        <v>0.50853242320819114</v>
      </c>
      <c r="W27" s="47" t="s">
        <v>675</v>
      </c>
      <c r="X27" s="47" t="s">
        <v>341</v>
      </c>
      <c r="Y27" s="48"/>
    </row>
    <row r="28" spans="1:25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4"/>
      <c r="O28" s="11"/>
      <c r="P28" s="31"/>
      <c r="Q28" s="60"/>
      <c r="R28" s="60"/>
      <c r="S28" s="60"/>
      <c r="T28" s="60"/>
      <c r="U28" s="60"/>
      <c r="V28" s="68"/>
      <c r="W28" s="68"/>
      <c r="X28" s="69"/>
      <c r="Y28" s="30"/>
    </row>
    <row r="29" spans="1:25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12" t="s">
        <v>221</v>
      </c>
      <c r="O29" s="11"/>
      <c r="P29" s="31"/>
      <c r="Q29" s="11"/>
      <c r="R29" s="11"/>
      <c r="S29" s="11"/>
      <c r="T29" s="11"/>
      <c r="U29" s="11"/>
      <c r="V29" s="11"/>
      <c r="W29" s="11"/>
      <c r="X29" s="70"/>
      <c r="Y29" s="40"/>
    </row>
    <row r="30" spans="1:25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14" t="s">
        <v>5</v>
      </c>
      <c r="O30" s="41" t="s">
        <v>0</v>
      </c>
      <c r="P30" s="3" t="s">
        <v>3</v>
      </c>
      <c r="Q30" s="6" t="s">
        <v>13</v>
      </c>
      <c r="R30" s="6" t="s">
        <v>14</v>
      </c>
      <c r="S30" s="6" t="s">
        <v>15</v>
      </c>
      <c r="T30" s="6" t="s">
        <v>16</v>
      </c>
      <c r="U30" s="6" t="s">
        <v>17</v>
      </c>
      <c r="V30" s="42" t="s">
        <v>18</v>
      </c>
      <c r="W30" s="71" t="s">
        <v>222</v>
      </c>
      <c r="X30" s="2" t="s">
        <v>223</v>
      </c>
      <c r="Y30" s="33"/>
    </row>
    <row r="31" spans="1:25">
      <c r="A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59" t="s">
        <v>772</v>
      </c>
      <c r="O31" s="50">
        <v>36640</v>
      </c>
      <c r="P31" s="4" t="s">
        <v>348</v>
      </c>
      <c r="Q31" s="13">
        <v>77</v>
      </c>
      <c r="R31" s="13">
        <v>0</v>
      </c>
      <c r="S31" s="13">
        <v>4</v>
      </c>
      <c r="T31" s="13">
        <v>11</v>
      </c>
      <c r="U31" s="13">
        <v>108</v>
      </c>
      <c r="V31" s="46">
        <v>0.39100000000000001</v>
      </c>
      <c r="W31" s="72">
        <v>69</v>
      </c>
      <c r="X31" s="21" t="s">
        <v>775</v>
      </c>
      <c r="Y31" s="48"/>
    </row>
    <row r="32" spans="1:25">
      <c r="A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123" t="s">
        <v>718</v>
      </c>
      <c r="O32" s="124">
        <v>36027</v>
      </c>
      <c r="P32" s="4" t="s">
        <v>327</v>
      </c>
      <c r="Q32" s="13">
        <v>36</v>
      </c>
      <c r="R32" s="13">
        <v>2</v>
      </c>
      <c r="S32" s="13">
        <v>33</v>
      </c>
      <c r="T32" s="13">
        <v>7</v>
      </c>
      <c r="U32" s="13">
        <v>99</v>
      </c>
      <c r="V32" s="46">
        <v>0.54100000000000004</v>
      </c>
      <c r="W32" s="72">
        <v>60</v>
      </c>
      <c r="X32" s="21" t="s">
        <v>774</v>
      </c>
      <c r="Y32" s="48"/>
    </row>
    <row r="33" spans="1:26">
      <c r="A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123" t="s">
        <v>666</v>
      </c>
      <c r="O33" s="50">
        <v>36186</v>
      </c>
      <c r="P33" s="4" t="s">
        <v>327</v>
      </c>
      <c r="Q33" s="13">
        <v>22</v>
      </c>
      <c r="R33" s="13">
        <v>1</v>
      </c>
      <c r="S33" s="13">
        <v>9</v>
      </c>
      <c r="T33" s="13">
        <v>4</v>
      </c>
      <c r="U33" s="13">
        <v>47</v>
      </c>
      <c r="V33" s="46">
        <v>0.47499999999999998</v>
      </c>
      <c r="W33" s="72">
        <v>33.700000000000003</v>
      </c>
      <c r="X33" s="21" t="s">
        <v>675</v>
      </c>
      <c r="Y33" s="48"/>
    </row>
    <row r="34" spans="1:26">
      <c r="A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9" t="s">
        <v>665</v>
      </c>
      <c r="O34" s="50">
        <v>36084</v>
      </c>
      <c r="P34" s="4" t="s">
        <v>678</v>
      </c>
      <c r="Q34" s="13">
        <v>44</v>
      </c>
      <c r="R34" s="13">
        <v>0</v>
      </c>
      <c r="S34" s="13">
        <v>2</v>
      </c>
      <c r="T34" s="13">
        <v>3</v>
      </c>
      <c r="U34" s="13">
        <v>22</v>
      </c>
      <c r="V34" s="46">
        <v>0.36699999999999999</v>
      </c>
      <c r="W34" s="72">
        <v>26.3</v>
      </c>
      <c r="X34" s="21" t="s">
        <v>675</v>
      </c>
      <c r="Y34" s="48"/>
    </row>
    <row r="35" spans="1:26">
      <c r="A35" s="1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9" t="s">
        <v>720</v>
      </c>
      <c r="O35" s="50">
        <v>38476</v>
      </c>
      <c r="P35" s="4" t="s">
        <v>91</v>
      </c>
      <c r="Q35" s="13">
        <v>7</v>
      </c>
      <c r="R35" s="13">
        <v>0</v>
      </c>
      <c r="S35" s="13">
        <v>1</v>
      </c>
      <c r="T35" s="13">
        <v>0</v>
      </c>
      <c r="U35" s="13">
        <v>2</v>
      </c>
      <c r="V35" s="46">
        <v>0.14299999999999999</v>
      </c>
      <c r="W35" s="72">
        <v>3.7</v>
      </c>
      <c r="X35" s="35" t="s">
        <v>773</v>
      </c>
      <c r="Y35" s="48"/>
    </row>
    <row r="36" spans="1:26" ht="14.25">
      <c r="A36" s="1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4"/>
      <c r="O36" s="11"/>
      <c r="P36" s="24"/>
      <c r="Q36" s="11"/>
      <c r="R36" s="11"/>
      <c r="S36" s="11"/>
      <c r="T36" s="11"/>
      <c r="U36" s="11"/>
      <c r="V36" s="11"/>
      <c r="W36" s="11"/>
      <c r="X36" s="24"/>
      <c r="Y36" s="24"/>
    </row>
    <row r="37" spans="1:26" ht="14.25">
      <c r="A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P37" s="2"/>
      <c r="X37" s="2"/>
      <c r="Y37" s="2"/>
    </row>
    <row r="38" spans="1:26" ht="14.25">
      <c r="A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P38" s="2"/>
      <c r="X38" s="2"/>
      <c r="Y38" s="2"/>
    </row>
    <row r="39" spans="1:26" ht="14.25">
      <c r="A39" s="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2"/>
      <c r="X39" s="2"/>
      <c r="Y39" s="2"/>
    </row>
    <row r="40" spans="1:26" ht="14.25">
      <c r="A40" s="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4.25">
      <c r="A41" s="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4.25">
      <c r="A42" s="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4.25">
      <c r="A43" s="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4.25">
      <c r="A44" s="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4.25">
      <c r="A45" s="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4.25">
      <c r="A46" s="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4.25">
      <c r="A47" s="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3:26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3:26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3:26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3:26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3:26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P53" s="2"/>
      <c r="X53" s="2"/>
      <c r="Y53" s="2"/>
    </row>
    <row r="54" spans="3:26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P54" s="2"/>
      <c r="X54" s="2"/>
      <c r="Y54" s="2"/>
    </row>
    <row r="55" spans="3:26">
      <c r="P55" s="2"/>
      <c r="X55" s="2"/>
      <c r="Y55" s="2"/>
    </row>
    <row r="56" spans="3:26">
      <c r="P56" s="2"/>
      <c r="X56" s="2"/>
      <c r="Y56" s="2"/>
    </row>
    <row r="57" spans="3:26">
      <c r="P57" s="2"/>
      <c r="X57" s="2"/>
      <c r="Y57" s="2"/>
    </row>
    <row r="58" spans="3:26">
      <c r="P58" s="2"/>
      <c r="X58" s="2"/>
      <c r="Y58" s="2"/>
    </row>
    <row r="59" spans="3:26">
      <c r="P59" s="2"/>
      <c r="X59" s="2"/>
      <c r="Y59" s="2"/>
    </row>
  </sheetData>
  <sortState xmlns:xlrd2="http://schemas.microsoft.com/office/spreadsheetml/2017/richdata2" ref="N31:Y35">
    <sortCondition descending="1" ref="W31:W35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8"/>
  <sheetViews>
    <sheetView zoomScale="93" zoomScaleNormal="93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1.7109375" style="2" customWidth="1"/>
    <col min="15" max="15" width="13.140625" style="6" customWidth="1"/>
    <col min="16" max="16" width="12.85546875" style="3" bestFit="1" customWidth="1"/>
    <col min="17" max="21" width="6.7109375" style="6" customWidth="1"/>
    <col min="22" max="22" width="9.85546875" style="6" customWidth="1"/>
    <col min="23" max="23" width="11" style="6" customWidth="1"/>
    <col min="24" max="24" width="22.28515625" style="22" bestFit="1" customWidth="1"/>
    <col min="25" max="16384" width="9.140625" style="1"/>
  </cols>
  <sheetData>
    <row r="1" spans="1:24" s="27" customFormat="1" ht="18.75">
      <c r="A1" s="21"/>
      <c r="B1" s="28" t="s">
        <v>130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"/>
      <c r="N1" s="19"/>
    </row>
    <row r="2" spans="1:24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152</v>
      </c>
      <c r="P2" s="31"/>
      <c r="Q2" s="11"/>
      <c r="R2" s="11"/>
      <c r="S2" s="11"/>
      <c r="T2" s="11"/>
      <c r="U2" s="11"/>
      <c r="V2" s="11"/>
      <c r="W2" s="11"/>
      <c r="X2" s="25"/>
    </row>
    <row r="3" spans="1:24">
      <c r="B3" s="104" t="s">
        <v>39</v>
      </c>
      <c r="C3" s="109" t="s">
        <v>36</v>
      </c>
      <c r="D3" s="106">
        <v>7</v>
      </c>
      <c r="E3" s="109" t="s">
        <v>142</v>
      </c>
      <c r="F3" s="106" t="s">
        <v>36</v>
      </c>
      <c r="G3" s="106" t="s">
        <v>36</v>
      </c>
      <c r="H3" s="106" t="s">
        <v>36</v>
      </c>
      <c r="I3" s="106" t="s">
        <v>36</v>
      </c>
      <c r="J3" s="106" t="s">
        <v>36</v>
      </c>
      <c r="K3" s="106" t="s">
        <v>36</v>
      </c>
      <c r="L3" s="106" t="s">
        <v>36</v>
      </c>
      <c r="M3" s="2"/>
      <c r="N3" s="32" t="s">
        <v>116</v>
      </c>
      <c r="O3" s="5" t="s">
        <v>154</v>
      </c>
      <c r="X3" s="33"/>
    </row>
    <row r="4" spans="1:24">
      <c r="B4" s="104" t="s">
        <v>40</v>
      </c>
      <c r="C4" s="109" t="s">
        <v>36</v>
      </c>
      <c r="D4" s="106">
        <v>4</v>
      </c>
      <c r="E4" s="109" t="s">
        <v>49</v>
      </c>
      <c r="F4" s="106">
        <v>4</v>
      </c>
      <c r="G4" s="106">
        <v>2</v>
      </c>
      <c r="H4" s="106">
        <v>2</v>
      </c>
      <c r="I4" s="106">
        <v>7</v>
      </c>
      <c r="J4" s="107">
        <v>7</v>
      </c>
      <c r="K4" s="106">
        <v>1</v>
      </c>
      <c r="L4" s="107">
        <v>9</v>
      </c>
      <c r="M4" s="2"/>
      <c r="N4" s="32" t="s">
        <v>115</v>
      </c>
      <c r="O4" s="5" t="s">
        <v>288</v>
      </c>
      <c r="X4" s="33"/>
    </row>
    <row r="5" spans="1:24">
      <c r="B5" s="104" t="s">
        <v>41</v>
      </c>
      <c r="C5" s="106">
        <v>4</v>
      </c>
      <c r="D5" s="106">
        <v>2</v>
      </c>
      <c r="E5" s="106">
        <v>3</v>
      </c>
      <c r="F5" s="106">
        <v>6</v>
      </c>
      <c r="G5" s="106">
        <v>4</v>
      </c>
      <c r="H5" s="106">
        <v>4</v>
      </c>
      <c r="I5" s="106">
        <v>2</v>
      </c>
      <c r="J5" s="109" t="s">
        <v>36</v>
      </c>
      <c r="K5" s="108">
        <v>7</v>
      </c>
      <c r="L5" s="108">
        <v>1</v>
      </c>
      <c r="M5" s="2"/>
      <c r="N5" s="32" t="s">
        <v>1</v>
      </c>
      <c r="O5" s="4" t="s">
        <v>314</v>
      </c>
      <c r="X5" s="33"/>
    </row>
    <row r="6" spans="1:24">
      <c r="B6" s="104" t="s">
        <v>42</v>
      </c>
      <c r="C6" s="108">
        <v>2</v>
      </c>
      <c r="D6" s="108">
        <v>7</v>
      </c>
      <c r="E6" s="107">
        <v>6</v>
      </c>
      <c r="F6" s="108">
        <v>4</v>
      </c>
      <c r="G6" s="108">
        <v>3</v>
      </c>
      <c r="H6" s="106">
        <v>7</v>
      </c>
      <c r="I6" s="106">
        <v>1</v>
      </c>
      <c r="J6" s="107">
        <v>5</v>
      </c>
      <c r="K6" s="107">
        <v>2</v>
      </c>
      <c r="L6" s="107">
        <v>10</v>
      </c>
      <c r="M6" s="2"/>
      <c r="N6" s="34" t="s">
        <v>2</v>
      </c>
      <c r="O6" s="35" t="s">
        <v>155</v>
      </c>
      <c r="P6" s="36"/>
      <c r="Q6" s="37"/>
      <c r="R6" s="37"/>
      <c r="S6" s="37"/>
      <c r="T6" s="37"/>
      <c r="U6" s="37"/>
      <c r="V6" s="37"/>
      <c r="W6" s="37"/>
      <c r="X6" s="38"/>
    </row>
    <row r="7" spans="1:24">
      <c r="B7" s="104" t="s">
        <v>118</v>
      </c>
      <c r="C7" s="107">
        <v>1</v>
      </c>
      <c r="D7" s="107">
        <v>2</v>
      </c>
      <c r="E7" s="108">
        <v>2</v>
      </c>
      <c r="F7" s="108">
        <v>2</v>
      </c>
      <c r="G7" s="7"/>
      <c r="H7" s="7"/>
      <c r="I7" s="7"/>
      <c r="J7" s="7"/>
      <c r="K7" s="7"/>
      <c r="L7" s="18"/>
      <c r="M7" s="2"/>
      <c r="X7" s="2"/>
    </row>
    <row r="8" spans="1:24">
      <c r="I8" s="4"/>
      <c r="J8" s="4"/>
      <c r="K8" s="4"/>
      <c r="L8" s="4"/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39"/>
      <c r="X8" s="40"/>
    </row>
    <row r="9" spans="1:24">
      <c r="B9" s="90" t="s">
        <v>35</v>
      </c>
      <c r="C9" s="9"/>
      <c r="D9" s="52" t="s">
        <v>268</v>
      </c>
      <c r="E9" s="53"/>
      <c r="F9" s="53"/>
      <c r="G9" s="84" t="s">
        <v>269</v>
      </c>
      <c r="H9" s="85"/>
      <c r="I9" s="86"/>
      <c r="J9" s="54" t="s">
        <v>220</v>
      </c>
      <c r="K9" s="55"/>
      <c r="L9" s="56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566</v>
      </c>
      <c r="X9" s="43" t="s">
        <v>31</v>
      </c>
    </row>
    <row r="10" spans="1:24">
      <c r="B10" s="57"/>
      <c r="C10" s="2"/>
      <c r="D10" s="2"/>
      <c r="E10" s="2"/>
      <c r="F10" s="13"/>
      <c r="G10" s="13"/>
      <c r="H10" s="13"/>
      <c r="I10" s="2"/>
      <c r="J10" s="2"/>
      <c r="K10" s="2"/>
      <c r="L10" s="2"/>
      <c r="M10" s="2"/>
      <c r="N10" s="49" t="s">
        <v>153</v>
      </c>
      <c r="O10" s="50">
        <v>38112</v>
      </c>
      <c r="P10" s="4" t="s">
        <v>151</v>
      </c>
      <c r="Q10" s="13">
        <v>47</v>
      </c>
      <c r="R10" s="13">
        <v>4</v>
      </c>
      <c r="S10" s="13">
        <v>19</v>
      </c>
      <c r="T10" s="13">
        <v>34</v>
      </c>
      <c r="U10" s="13">
        <v>137</v>
      </c>
      <c r="V10" s="46">
        <v>0.58299999999999996</v>
      </c>
      <c r="W10" s="47" t="s">
        <v>611</v>
      </c>
      <c r="X10" s="48" t="s">
        <v>130</v>
      </c>
    </row>
    <row r="11" spans="1:24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44" t="s">
        <v>286</v>
      </c>
      <c r="O11" s="45">
        <v>36286</v>
      </c>
      <c r="P11" s="4" t="s">
        <v>151</v>
      </c>
      <c r="Q11" s="13">
        <v>59</v>
      </c>
      <c r="R11" s="13">
        <v>7</v>
      </c>
      <c r="S11" s="13">
        <v>36</v>
      </c>
      <c r="T11" s="13">
        <v>44</v>
      </c>
      <c r="U11" s="13">
        <v>169</v>
      </c>
      <c r="V11" s="46">
        <v>0.55400000000000005</v>
      </c>
      <c r="W11" s="47" t="s">
        <v>611</v>
      </c>
      <c r="X11" s="48" t="s">
        <v>130</v>
      </c>
    </row>
    <row r="12" spans="1:24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9" t="s">
        <v>567</v>
      </c>
      <c r="O12" s="50">
        <v>37757</v>
      </c>
      <c r="P12" s="4" t="s">
        <v>609</v>
      </c>
      <c r="Q12" s="13">
        <v>54</v>
      </c>
      <c r="R12" s="13">
        <v>1</v>
      </c>
      <c r="S12" s="13">
        <v>12</v>
      </c>
      <c r="T12" s="13">
        <v>64</v>
      </c>
      <c r="U12" s="13">
        <v>196</v>
      </c>
      <c r="V12" s="46">
        <v>0.60499999999999998</v>
      </c>
      <c r="W12" s="47" t="s">
        <v>610</v>
      </c>
      <c r="X12" s="48" t="s">
        <v>209</v>
      </c>
    </row>
    <row r="13" spans="1:24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9" t="s">
        <v>724</v>
      </c>
      <c r="O13" s="50">
        <v>39142</v>
      </c>
      <c r="P13" s="4" t="s">
        <v>56</v>
      </c>
      <c r="Q13" s="13">
        <v>44</v>
      </c>
      <c r="R13" s="13">
        <v>0</v>
      </c>
      <c r="S13" s="13">
        <v>7</v>
      </c>
      <c r="T13" s="13">
        <v>13</v>
      </c>
      <c r="U13" s="13">
        <v>68</v>
      </c>
      <c r="V13" s="46">
        <f>PRODUCT(68/175)</f>
        <v>0.38857142857142857</v>
      </c>
      <c r="W13" s="47" t="s">
        <v>611</v>
      </c>
      <c r="X13" s="48" t="s">
        <v>209</v>
      </c>
    </row>
    <row r="14" spans="1:24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9" t="s">
        <v>725</v>
      </c>
      <c r="O14" s="50">
        <v>39142</v>
      </c>
      <c r="P14" s="4" t="s">
        <v>56</v>
      </c>
      <c r="Q14" s="13">
        <v>40</v>
      </c>
      <c r="R14" s="13">
        <v>3</v>
      </c>
      <c r="S14" s="13">
        <v>7</v>
      </c>
      <c r="T14" s="13">
        <v>34</v>
      </c>
      <c r="U14" s="13">
        <v>138</v>
      </c>
      <c r="V14" s="46">
        <f>PRODUCT(138/240)</f>
        <v>0.57499999999999996</v>
      </c>
      <c r="W14" s="47" t="s">
        <v>611</v>
      </c>
      <c r="X14" s="48" t="s">
        <v>209</v>
      </c>
    </row>
    <row r="15" spans="1:24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9" t="s">
        <v>156</v>
      </c>
      <c r="O15" s="58">
        <v>38070</v>
      </c>
      <c r="P15" s="20" t="s">
        <v>151</v>
      </c>
      <c r="Q15" s="13">
        <v>44</v>
      </c>
      <c r="R15" s="13">
        <v>0</v>
      </c>
      <c r="S15" s="13">
        <v>7</v>
      </c>
      <c r="T15" s="13">
        <v>3</v>
      </c>
      <c r="U15" s="13">
        <v>51</v>
      </c>
      <c r="V15" s="46">
        <v>0.39500000000000002</v>
      </c>
      <c r="W15" s="47" t="s">
        <v>611</v>
      </c>
      <c r="X15" s="48" t="s">
        <v>130</v>
      </c>
    </row>
    <row r="16" spans="1:24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9" t="s">
        <v>287</v>
      </c>
      <c r="O16" s="50">
        <v>39098</v>
      </c>
      <c r="P16" s="4" t="s">
        <v>151</v>
      </c>
      <c r="Q16" s="13">
        <v>20</v>
      </c>
      <c r="R16" s="13">
        <v>0</v>
      </c>
      <c r="S16" s="13">
        <v>1</v>
      </c>
      <c r="T16" s="13">
        <v>25</v>
      </c>
      <c r="U16" s="13">
        <v>72</v>
      </c>
      <c r="V16" s="46">
        <v>0.6</v>
      </c>
      <c r="W16" s="47" t="s">
        <v>611</v>
      </c>
      <c r="X16" s="48" t="s">
        <v>130</v>
      </c>
    </row>
    <row r="17" spans="1:24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9" t="s">
        <v>157</v>
      </c>
      <c r="O17" s="45">
        <v>38049</v>
      </c>
      <c r="P17" s="4" t="s">
        <v>151</v>
      </c>
      <c r="Q17" s="13">
        <v>53</v>
      </c>
      <c r="R17" s="13">
        <v>0</v>
      </c>
      <c r="S17" s="13">
        <v>11</v>
      </c>
      <c r="T17" s="13">
        <v>18</v>
      </c>
      <c r="U17" s="13">
        <v>158</v>
      </c>
      <c r="V17" s="46">
        <v>0.57199999999999995</v>
      </c>
      <c r="W17" s="47" t="s">
        <v>611</v>
      </c>
      <c r="X17" s="48" t="s">
        <v>130</v>
      </c>
    </row>
    <row r="18" spans="1:24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9" t="s">
        <v>723</v>
      </c>
      <c r="O18" s="45">
        <v>37926</v>
      </c>
      <c r="P18" s="4" t="s">
        <v>84</v>
      </c>
      <c r="Q18" s="13">
        <v>11</v>
      </c>
      <c r="R18" s="13">
        <v>1</v>
      </c>
      <c r="S18" s="13">
        <v>5</v>
      </c>
      <c r="T18" s="13">
        <v>12</v>
      </c>
      <c r="U18" s="13">
        <v>52</v>
      </c>
      <c r="V18" s="46">
        <f>PRODUCT(52/75)</f>
        <v>0.69333333333333336</v>
      </c>
      <c r="W18" s="47" t="s">
        <v>611</v>
      </c>
      <c r="X18" s="48" t="s">
        <v>209</v>
      </c>
    </row>
    <row r="19" spans="1:24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9" t="s">
        <v>722</v>
      </c>
      <c r="O19" s="45">
        <v>38876</v>
      </c>
      <c r="P19" s="4" t="s">
        <v>56</v>
      </c>
      <c r="Q19" s="13">
        <v>51</v>
      </c>
      <c r="R19" s="13">
        <v>2</v>
      </c>
      <c r="S19" s="13">
        <v>60</v>
      </c>
      <c r="T19" s="13">
        <v>27</v>
      </c>
      <c r="U19" s="13">
        <v>240</v>
      </c>
      <c r="V19" s="46">
        <f>PRODUCT(270/474)</f>
        <v>0.569620253164557</v>
      </c>
      <c r="W19" s="47" t="s">
        <v>611</v>
      </c>
      <c r="X19" s="48" t="s">
        <v>209</v>
      </c>
    </row>
    <row r="20" spans="1:24">
      <c r="A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9" t="s">
        <v>568</v>
      </c>
      <c r="O20" s="50">
        <v>35367</v>
      </c>
      <c r="P20" s="21" t="s">
        <v>56</v>
      </c>
      <c r="Q20" s="13">
        <v>30</v>
      </c>
      <c r="R20" s="13">
        <v>3</v>
      </c>
      <c r="S20" s="13">
        <v>7</v>
      </c>
      <c r="T20" s="13">
        <v>31</v>
      </c>
      <c r="U20" s="13">
        <v>128</v>
      </c>
      <c r="V20" s="46">
        <v>0.7</v>
      </c>
      <c r="W20" s="47" t="s">
        <v>610</v>
      </c>
      <c r="X20" s="48" t="s">
        <v>209</v>
      </c>
    </row>
    <row r="21" spans="1:24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9" t="s">
        <v>569</v>
      </c>
      <c r="O21" s="45">
        <v>40041</v>
      </c>
      <c r="P21" s="4" t="s">
        <v>151</v>
      </c>
      <c r="Q21" s="13">
        <v>5</v>
      </c>
      <c r="R21" s="13">
        <v>0</v>
      </c>
      <c r="S21" s="13">
        <v>0</v>
      </c>
      <c r="T21" s="13">
        <v>5</v>
      </c>
      <c r="U21" s="13">
        <v>10</v>
      </c>
      <c r="V21" s="46">
        <v>0.5</v>
      </c>
      <c r="W21" s="47" t="s">
        <v>611</v>
      </c>
      <c r="X21" s="48" t="s">
        <v>130</v>
      </c>
    </row>
    <row r="22" spans="1:24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4" t="s">
        <v>289</v>
      </c>
      <c r="O22" s="50">
        <v>39431</v>
      </c>
      <c r="P22" s="4" t="s">
        <v>151</v>
      </c>
      <c r="Q22" s="13">
        <v>14</v>
      </c>
      <c r="R22" s="13">
        <v>0</v>
      </c>
      <c r="S22" s="13">
        <v>2</v>
      </c>
      <c r="T22" s="13">
        <v>7</v>
      </c>
      <c r="U22" s="13">
        <v>27</v>
      </c>
      <c r="V22" s="46">
        <v>0.435</v>
      </c>
      <c r="W22" s="47" t="s">
        <v>611</v>
      </c>
      <c r="X22" s="48" t="s">
        <v>130</v>
      </c>
    </row>
    <row r="23" spans="1:24">
      <c r="A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59" t="s">
        <v>158</v>
      </c>
      <c r="O23" s="50">
        <v>38417</v>
      </c>
      <c r="P23" s="4" t="s">
        <v>151</v>
      </c>
      <c r="Q23" s="13">
        <v>47</v>
      </c>
      <c r="R23" s="13">
        <v>2</v>
      </c>
      <c r="S23" s="13">
        <v>9</v>
      </c>
      <c r="T23" s="13">
        <v>63</v>
      </c>
      <c r="U23" s="13">
        <v>208</v>
      </c>
      <c r="V23" s="46">
        <v>0.65600000000000003</v>
      </c>
      <c r="W23" s="47" t="s">
        <v>611</v>
      </c>
      <c r="X23" s="48" t="s">
        <v>130</v>
      </c>
    </row>
    <row r="24" spans="1:24">
      <c r="A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9" t="s">
        <v>159</v>
      </c>
      <c r="O24" s="50">
        <v>38768</v>
      </c>
      <c r="P24" s="4" t="s">
        <v>160</v>
      </c>
      <c r="Q24" s="13">
        <v>44</v>
      </c>
      <c r="R24" s="13">
        <v>5</v>
      </c>
      <c r="S24" s="13">
        <v>58</v>
      </c>
      <c r="T24" s="13">
        <v>24</v>
      </c>
      <c r="U24" s="13">
        <v>154</v>
      </c>
      <c r="V24" s="46">
        <v>0.54400000000000004</v>
      </c>
      <c r="W24" s="47" t="s">
        <v>611</v>
      </c>
      <c r="X24" s="48" t="s">
        <v>161</v>
      </c>
    </row>
    <row r="25" spans="1:24">
      <c r="A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4"/>
      <c r="O25" s="11"/>
      <c r="P25" s="31"/>
      <c r="Q25" s="60"/>
      <c r="R25" s="60"/>
      <c r="S25" s="60"/>
      <c r="T25" s="60"/>
      <c r="U25" s="60"/>
      <c r="V25" s="68"/>
      <c r="W25" s="69"/>
      <c r="X25" s="30"/>
    </row>
    <row r="26" spans="1:24">
      <c r="A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2" t="s">
        <v>221</v>
      </c>
      <c r="O26" s="11"/>
      <c r="P26" s="31"/>
      <c r="Q26" s="11"/>
      <c r="R26" s="11"/>
      <c r="S26" s="11"/>
      <c r="T26" s="11"/>
      <c r="U26" s="11"/>
      <c r="V26" s="11"/>
      <c r="W26" s="70"/>
      <c r="X26" s="40"/>
    </row>
    <row r="27" spans="1:24" ht="14.25">
      <c r="A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4" t="s">
        <v>5</v>
      </c>
      <c r="O27" s="41" t="s">
        <v>0</v>
      </c>
      <c r="P27" s="3" t="s">
        <v>3</v>
      </c>
      <c r="Q27" s="6" t="s">
        <v>13</v>
      </c>
      <c r="R27" s="6" t="s">
        <v>14</v>
      </c>
      <c r="S27" s="6" t="s">
        <v>15</v>
      </c>
      <c r="T27" s="6" t="s">
        <v>16</v>
      </c>
      <c r="U27" s="6" t="s">
        <v>17</v>
      </c>
      <c r="V27" s="42" t="s">
        <v>18</v>
      </c>
      <c r="W27" s="71" t="s">
        <v>222</v>
      </c>
      <c r="X27" s="33" t="s">
        <v>223</v>
      </c>
    </row>
    <row r="28" spans="1:24">
      <c r="A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9" t="s">
        <v>568</v>
      </c>
      <c r="O28" s="50">
        <v>35367</v>
      </c>
      <c r="P28" s="21" t="s">
        <v>56</v>
      </c>
      <c r="Q28" s="13">
        <v>108</v>
      </c>
      <c r="R28" s="13">
        <v>2</v>
      </c>
      <c r="S28" s="13">
        <v>13</v>
      </c>
      <c r="T28" s="13">
        <v>51</v>
      </c>
      <c r="U28" s="13">
        <v>265</v>
      </c>
      <c r="V28" s="46">
        <v>0.52900000000000003</v>
      </c>
      <c r="W28" s="72">
        <v>168.7</v>
      </c>
      <c r="X28" s="48" t="s">
        <v>209</v>
      </c>
    </row>
    <row r="29" spans="1:24">
      <c r="A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9" t="s">
        <v>722</v>
      </c>
      <c r="O29" s="45">
        <v>38876</v>
      </c>
      <c r="P29" s="4" t="s">
        <v>56</v>
      </c>
      <c r="Q29" s="13">
        <v>12</v>
      </c>
      <c r="R29" s="13">
        <v>0</v>
      </c>
      <c r="S29" s="13">
        <v>1</v>
      </c>
      <c r="T29" s="13">
        <v>3</v>
      </c>
      <c r="U29" s="13">
        <v>20</v>
      </c>
      <c r="V29" s="46">
        <v>42.9</v>
      </c>
      <c r="W29" s="72">
        <v>2.2999999999999998</v>
      </c>
      <c r="X29" s="48" t="s">
        <v>209</v>
      </c>
    </row>
    <row r="30" spans="1:24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61" t="s">
        <v>567</v>
      </c>
      <c r="O30" s="62">
        <v>37757</v>
      </c>
      <c r="P30" s="63" t="s">
        <v>609</v>
      </c>
      <c r="Q30" s="64">
        <v>12</v>
      </c>
      <c r="R30" s="64">
        <v>0</v>
      </c>
      <c r="S30" s="64">
        <v>1</v>
      </c>
      <c r="T30" s="64">
        <v>3</v>
      </c>
      <c r="U30" s="64">
        <v>20</v>
      </c>
      <c r="V30" s="65">
        <v>0.48799999999999999</v>
      </c>
      <c r="W30" s="82">
        <v>11.3</v>
      </c>
      <c r="X30" s="67" t="s">
        <v>209</v>
      </c>
    </row>
    <row r="31" spans="1:24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P31" s="2"/>
      <c r="W31" s="2"/>
      <c r="X31" s="2"/>
    </row>
    <row r="32" spans="1:24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P32" s="2"/>
      <c r="W32" s="2"/>
      <c r="X32" s="2"/>
    </row>
    <row r="33" spans="3:24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P33" s="2"/>
      <c r="W33" s="2"/>
      <c r="X33" s="2"/>
    </row>
    <row r="34" spans="3:24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P34" s="2"/>
      <c r="W34" s="2"/>
      <c r="X34" s="2"/>
    </row>
    <row r="35" spans="3:24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P35" s="2"/>
      <c r="W35" s="2"/>
      <c r="X35" s="2"/>
    </row>
    <row r="36" spans="3:24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P36" s="2"/>
      <c r="W36" s="2"/>
      <c r="X36" s="2"/>
    </row>
    <row r="37" spans="3:24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P37" s="2"/>
      <c r="W37" s="2"/>
      <c r="X37" s="2"/>
    </row>
    <row r="38" spans="3:24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P38" s="2"/>
      <c r="W38" s="2"/>
      <c r="X38" s="2"/>
    </row>
    <row r="39" spans="3:24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2"/>
      <c r="W39" s="2"/>
      <c r="X39" s="2"/>
    </row>
    <row r="40" spans="3:24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"/>
      <c r="W40" s="2"/>
      <c r="X40" s="2"/>
    </row>
    <row r="41" spans="3:24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P41" s="2"/>
      <c r="W41" s="2"/>
      <c r="X41" s="2"/>
    </row>
    <row r="42" spans="3:24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W42" s="2"/>
      <c r="X42" s="2"/>
    </row>
    <row r="43" spans="3:24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W43" s="2"/>
      <c r="X43" s="2"/>
    </row>
    <row r="44" spans="3:24">
      <c r="P44" s="2"/>
      <c r="W44" s="2"/>
      <c r="X44" s="2"/>
    </row>
    <row r="45" spans="3:24">
      <c r="P45" s="2"/>
      <c r="W45" s="2"/>
      <c r="X45" s="2"/>
    </row>
    <row r="46" spans="3:24">
      <c r="P46" s="2"/>
      <c r="W46" s="2"/>
      <c r="X46" s="2"/>
    </row>
    <row r="47" spans="3:24">
      <c r="P47" s="2"/>
      <c r="W47" s="2"/>
      <c r="X47" s="2"/>
    </row>
    <row r="48" spans="3:24">
      <c r="P48" s="2"/>
      <c r="W48" s="2"/>
      <c r="X48" s="2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60"/>
  <sheetViews>
    <sheetView zoomScale="93" zoomScaleNormal="93" workbookViewId="0"/>
  </sheetViews>
  <sheetFormatPr defaultRowHeight="15"/>
  <cols>
    <col min="1" max="1" width="4.7109375" style="4" customWidth="1"/>
    <col min="2" max="2" width="7.42578125" style="2" customWidth="1"/>
    <col min="3" max="12" width="5.28515625" style="6" customWidth="1"/>
    <col min="13" max="13" width="4.7109375" style="6" customWidth="1"/>
    <col min="14" max="14" width="20.5703125" style="2" customWidth="1"/>
    <col min="15" max="15" width="13.140625" style="6" customWidth="1"/>
    <col min="16" max="16" width="12.85546875" style="3" bestFit="1" customWidth="1"/>
    <col min="17" max="21" width="6.7109375" style="6" customWidth="1"/>
    <col min="22" max="22" width="9.85546875" style="6" customWidth="1"/>
    <col min="23" max="23" width="11" style="6" customWidth="1"/>
    <col min="24" max="24" width="25.7109375" style="22" customWidth="1"/>
    <col min="25" max="25" width="9.140625" style="1"/>
  </cols>
  <sheetData>
    <row r="1" spans="1:24" ht="18.75">
      <c r="A1" s="21"/>
      <c r="B1" s="28" t="s">
        <v>95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"/>
      <c r="N1" s="19"/>
      <c r="Q1" s="13"/>
      <c r="R1" s="13"/>
      <c r="S1" s="13"/>
      <c r="T1" s="13"/>
      <c r="U1" s="13"/>
      <c r="V1" s="13"/>
      <c r="W1" s="13"/>
      <c r="X1" s="21"/>
    </row>
    <row r="2" spans="1:24">
      <c r="B2" s="104" t="s">
        <v>34</v>
      </c>
      <c r="C2" s="105">
        <v>0</v>
      </c>
      <c r="D2" s="105">
        <v>1</v>
      </c>
      <c r="E2" s="105">
        <v>2</v>
      </c>
      <c r="F2" s="105">
        <v>3</v>
      </c>
      <c r="G2" s="105">
        <v>4</v>
      </c>
      <c r="H2" s="105">
        <v>5</v>
      </c>
      <c r="I2" s="105">
        <v>6</v>
      </c>
      <c r="J2" s="105">
        <v>7</v>
      </c>
      <c r="K2" s="105">
        <v>8</v>
      </c>
      <c r="L2" s="105">
        <v>9</v>
      </c>
      <c r="M2" s="2"/>
      <c r="N2" s="29" t="s">
        <v>4</v>
      </c>
      <c r="O2" s="30" t="s">
        <v>96</v>
      </c>
      <c r="P2" s="31"/>
      <c r="Q2" s="11"/>
      <c r="R2" s="11"/>
      <c r="S2" s="11"/>
      <c r="T2" s="11"/>
      <c r="U2" s="11"/>
      <c r="V2" s="11"/>
      <c r="W2" s="11"/>
      <c r="X2" s="25"/>
    </row>
    <row r="3" spans="1:24">
      <c r="B3" s="104" t="s">
        <v>39</v>
      </c>
      <c r="C3" s="106" t="s">
        <v>36</v>
      </c>
      <c r="D3" s="106" t="s">
        <v>36</v>
      </c>
      <c r="E3" s="106" t="s">
        <v>36</v>
      </c>
      <c r="F3" s="106" t="s">
        <v>36</v>
      </c>
      <c r="G3" s="106">
        <v>6</v>
      </c>
      <c r="H3" s="106">
        <v>1</v>
      </c>
      <c r="I3" s="106">
        <v>2</v>
      </c>
      <c r="J3" s="106">
        <v>2</v>
      </c>
      <c r="K3" s="106">
        <v>3</v>
      </c>
      <c r="L3" s="106">
        <v>1</v>
      </c>
      <c r="M3" s="2"/>
      <c r="N3" s="32" t="s">
        <v>116</v>
      </c>
      <c r="O3" s="5" t="s">
        <v>293</v>
      </c>
      <c r="X3" s="33"/>
    </row>
    <row r="4" spans="1:24">
      <c r="B4" s="104" t="s">
        <v>40</v>
      </c>
      <c r="C4" s="107">
        <v>5</v>
      </c>
      <c r="D4" s="107">
        <v>7</v>
      </c>
      <c r="E4" s="106">
        <v>4</v>
      </c>
      <c r="F4" s="106">
        <v>6</v>
      </c>
      <c r="G4" s="106">
        <v>5</v>
      </c>
      <c r="H4" s="106">
        <v>5</v>
      </c>
      <c r="I4" s="106" t="s">
        <v>36</v>
      </c>
      <c r="J4" s="106" t="s">
        <v>36</v>
      </c>
      <c r="K4" s="107">
        <v>5</v>
      </c>
      <c r="L4" s="106">
        <v>5</v>
      </c>
      <c r="M4" s="2"/>
      <c r="N4" s="32" t="s">
        <v>115</v>
      </c>
      <c r="O4" s="5" t="s">
        <v>564</v>
      </c>
      <c r="X4" s="33"/>
    </row>
    <row r="5" spans="1:24">
      <c r="B5" s="104" t="s">
        <v>41</v>
      </c>
      <c r="C5" s="106" t="s">
        <v>36</v>
      </c>
      <c r="D5" s="106" t="s">
        <v>36</v>
      </c>
      <c r="E5" s="106">
        <v>2</v>
      </c>
      <c r="F5" s="106">
        <v>3</v>
      </c>
      <c r="G5" s="106">
        <v>1</v>
      </c>
      <c r="H5" s="107">
        <v>6</v>
      </c>
      <c r="I5" s="107">
        <v>7</v>
      </c>
      <c r="J5" s="106" t="s">
        <v>36</v>
      </c>
      <c r="K5" s="106" t="s">
        <v>36</v>
      </c>
      <c r="L5" s="106">
        <v>2</v>
      </c>
      <c r="M5" s="2"/>
      <c r="N5" s="32" t="s">
        <v>1</v>
      </c>
      <c r="O5" s="21" t="s">
        <v>97</v>
      </c>
      <c r="X5" s="33"/>
    </row>
    <row r="6" spans="1:24">
      <c r="B6" s="104" t="s">
        <v>42</v>
      </c>
      <c r="C6" s="106" t="s">
        <v>36</v>
      </c>
      <c r="D6" s="106" t="s">
        <v>36</v>
      </c>
      <c r="E6" s="106" t="s">
        <v>36</v>
      </c>
      <c r="F6" s="108">
        <v>7</v>
      </c>
      <c r="G6" s="108">
        <v>8</v>
      </c>
      <c r="H6" s="108">
        <v>6</v>
      </c>
      <c r="I6" s="108">
        <v>2</v>
      </c>
      <c r="J6" s="126">
        <v>11</v>
      </c>
      <c r="K6" s="126">
        <v>11</v>
      </c>
      <c r="L6" s="126">
        <v>11</v>
      </c>
      <c r="M6" s="2"/>
      <c r="N6" s="34" t="s">
        <v>2</v>
      </c>
      <c r="O6" s="35" t="s">
        <v>98</v>
      </c>
      <c r="P6" s="36"/>
      <c r="Q6" s="37"/>
      <c r="R6" s="37"/>
      <c r="S6" s="37"/>
      <c r="T6" s="37"/>
      <c r="U6" s="37"/>
      <c r="V6" s="37"/>
      <c r="W6" s="37"/>
      <c r="X6" s="38"/>
    </row>
    <row r="7" spans="1:24">
      <c r="B7" s="104" t="s">
        <v>118</v>
      </c>
      <c r="C7" s="108">
        <v>11</v>
      </c>
      <c r="D7" s="108">
        <v>8</v>
      </c>
      <c r="E7" s="108">
        <v>1</v>
      </c>
      <c r="F7" s="108">
        <v>6</v>
      </c>
      <c r="G7" s="91"/>
      <c r="H7" s="91"/>
      <c r="I7" s="91"/>
      <c r="J7" s="91"/>
      <c r="K7" s="91"/>
      <c r="L7" s="92"/>
      <c r="M7" s="2"/>
      <c r="X7" s="2"/>
    </row>
    <row r="8" spans="1:24">
      <c r="I8" s="4"/>
      <c r="J8" s="4"/>
      <c r="K8" s="4"/>
      <c r="L8" s="4"/>
      <c r="M8" s="2"/>
      <c r="N8" s="12" t="s">
        <v>58</v>
      </c>
      <c r="O8" s="11"/>
      <c r="P8" s="24"/>
      <c r="Q8" s="11"/>
      <c r="R8" s="11"/>
      <c r="S8" s="11"/>
      <c r="T8" s="11"/>
      <c r="U8" s="11"/>
      <c r="V8" s="11"/>
      <c r="W8" s="39"/>
      <c r="X8" s="40"/>
    </row>
    <row r="9" spans="1:24">
      <c r="B9" s="90" t="s">
        <v>35</v>
      </c>
      <c r="C9" s="9"/>
      <c r="D9" s="52" t="s">
        <v>268</v>
      </c>
      <c r="E9" s="53"/>
      <c r="F9" s="53"/>
      <c r="G9" s="84" t="s">
        <v>269</v>
      </c>
      <c r="H9" s="85"/>
      <c r="I9" s="86"/>
      <c r="J9" s="54" t="s">
        <v>220</v>
      </c>
      <c r="K9" s="55"/>
      <c r="L9" s="56"/>
      <c r="M9" s="2"/>
      <c r="N9" s="14" t="s">
        <v>5</v>
      </c>
      <c r="O9" s="41" t="s">
        <v>0</v>
      </c>
      <c r="P9" s="2" t="s">
        <v>3</v>
      </c>
      <c r="Q9" s="6" t="s">
        <v>13</v>
      </c>
      <c r="R9" s="6" t="s">
        <v>14</v>
      </c>
      <c r="S9" s="6" t="s">
        <v>15</v>
      </c>
      <c r="T9" s="6" t="s">
        <v>16</v>
      </c>
      <c r="U9" s="6" t="s">
        <v>17</v>
      </c>
      <c r="V9" s="42" t="s">
        <v>18</v>
      </c>
      <c r="W9" s="144" t="s">
        <v>565</v>
      </c>
      <c r="X9" s="43" t="s">
        <v>31</v>
      </c>
    </row>
    <row r="10" spans="1:24">
      <c r="B10" s="57"/>
      <c r="C10" s="2"/>
      <c r="D10" s="2"/>
      <c r="E10" s="2"/>
      <c r="F10" s="13"/>
      <c r="G10" s="13"/>
      <c r="H10" s="13"/>
      <c r="I10" s="2"/>
      <c r="J10" s="2"/>
      <c r="K10" s="2"/>
      <c r="L10" s="2"/>
      <c r="M10" s="2"/>
      <c r="N10" s="44" t="s">
        <v>126</v>
      </c>
      <c r="O10" s="45">
        <v>37898</v>
      </c>
      <c r="P10" s="4" t="s">
        <v>85</v>
      </c>
      <c r="Q10" s="13">
        <v>61</v>
      </c>
      <c r="R10" s="13">
        <v>2</v>
      </c>
      <c r="S10" s="13">
        <v>23</v>
      </c>
      <c r="T10" s="13">
        <v>29</v>
      </c>
      <c r="U10" s="13">
        <v>139</v>
      </c>
      <c r="V10" s="46">
        <v>0.46800000000000003</v>
      </c>
      <c r="W10" s="47" t="s">
        <v>614</v>
      </c>
      <c r="X10" s="48" t="s">
        <v>59</v>
      </c>
    </row>
    <row r="11" spans="1:24">
      <c r="B11" s="57"/>
      <c r="C11" s="2"/>
      <c r="D11" s="2"/>
      <c r="E11" s="2"/>
      <c r="F11" s="13"/>
      <c r="G11" s="13"/>
      <c r="H11" s="13"/>
      <c r="I11" s="2"/>
      <c r="J11" s="2"/>
      <c r="K11" s="2"/>
      <c r="L11" s="2"/>
      <c r="M11" s="2"/>
      <c r="N11" s="44" t="s">
        <v>560</v>
      </c>
      <c r="O11" s="45">
        <v>38493</v>
      </c>
      <c r="P11" s="4" t="s">
        <v>53</v>
      </c>
      <c r="Q11" s="13">
        <v>3</v>
      </c>
      <c r="R11" s="13">
        <v>0</v>
      </c>
      <c r="S11" s="13">
        <v>3</v>
      </c>
      <c r="T11" s="13">
        <v>1</v>
      </c>
      <c r="U11" s="13">
        <v>11</v>
      </c>
      <c r="V11" s="46">
        <v>0.78600000000000003</v>
      </c>
      <c r="W11" s="47" t="s">
        <v>413</v>
      </c>
      <c r="X11" s="48" t="s">
        <v>616</v>
      </c>
    </row>
    <row r="12" spans="1:24">
      <c r="B12" s="57"/>
      <c r="C12" s="2"/>
      <c r="D12" s="2"/>
      <c r="E12" s="2"/>
      <c r="F12" s="13"/>
      <c r="G12" s="13"/>
      <c r="H12" s="13"/>
      <c r="I12" s="2"/>
      <c r="J12" s="2"/>
      <c r="K12" s="2"/>
      <c r="L12" s="2"/>
      <c r="M12" s="2"/>
      <c r="N12" s="44" t="s">
        <v>726</v>
      </c>
      <c r="O12" s="45">
        <v>37886</v>
      </c>
      <c r="P12" s="4" t="s">
        <v>771</v>
      </c>
      <c r="Q12" s="13">
        <v>89</v>
      </c>
      <c r="R12" s="13">
        <v>2</v>
      </c>
      <c r="S12" s="13">
        <v>21</v>
      </c>
      <c r="T12" s="13">
        <v>116</v>
      </c>
      <c r="U12" s="13">
        <v>382</v>
      </c>
      <c r="V12" s="46">
        <f>PRODUCT(382/560)</f>
        <v>0.68214285714285716</v>
      </c>
      <c r="W12" s="47" t="s">
        <v>320</v>
      </c>
      <c r="X12" s="48" t="s">
        <v>405</v>
      </c>
    </row>
    <row r="13" spans="1:24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9" t="s">
        <v>294</v>
      </c>
      <c r="O13" s="50">
        <v>38211</v>
      </c>
      <c r="P13" s="4" t="s">
        <v>85</v>
      </c>
      <c r="Q13" s="13">
        <v>58</v>
      </c>
      <c r="R13" s="13">
        <v>2</v>
      </c>
      <c r="S13" s="13">
        <v>67</v>
      </c>
      <c r="T13" s="13">
        <v>31</v>
      </c>
      <c r="U13" s="13">
        <v>240</v>
      </c>
      <c r="V13" s="46">
        <v>0.64500000000000002</v>
      </c>
      <c r="W13" s="47" t="s">
        <v>614</v>
      </c>
      <c r="X13" s="48" t="s">
        <v>59</v>
      </c>
    </row>
    <row r="14" spans="1:24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9" t="s">
        <v>618</v>
      </c>
      <c r="O14" s="50">
        <v>38945</v>
      </c>
      <c r="P14" s="4" t="s">
        <v>85</v>
      </c>
      <c r="Q14" s="13">
        <v>18</v>
      </c>
      <c r="R14" s="13">
        <v>1</v>
      </c>
      <c r="S14" s="13">
        <v>9</v>
      </c>
      <c r="T14" s="13">
        <v>5</v>
      </c>
      <c r="U14" s="13">
        <v>82</v>
      </c>
      <c r="V14" s="46">
        <v>0.48799999999999999</v>
      </c>
      <c r="W14" s="47" t="s">
        <v>619</v>
      </c>
      <c r="X14" s="48" t="s">
        <v>59</v>
      </c>
    </row>
    <row r="15" spans="1:24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9" t="s">
        <v>291</v>
      </c>
      <c r="O15" s="50">
        <v>38506</v>
      </c>
      <c r="P15" s="4" t="s">
        <v>145</v>
      </c>
      <c r="Q15" s="13">
        <v>3</v>
      </c>
      <c r="R15" s="13">
        <v>0</v>
      </c>
      <c r="S15" s="13">
        <v>0</v>
      </c>
      <c r="T15" s="13">
        <v>5</v>
      </c>
      <c r="U15" s="13">
        <v>5</v>
      </c>
      <c r="V15" s="46">
        <v>0.45500000000000002</v>
      </c>
      <c r="W15" s="47" t="s">
        <v>614</v>
      </c>
      <c r="X15" s="48" t="s">
        <v>90</v>
      </c>
    </row>
    <row r="16" spans="1:24">
      <c r="A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4" t="s">
        <v>561</v>
      </c>
      <c r="O16" s="45">
        <v>38237</v>
      </c>
      <c r="P16" s="4" t="s">
        <v>112</v>
      </c>
      <c r="Q16" s="13"/>
      <c r="R16" s="13"/>
      <c r="S16" s="13"/>
      <c r="T16" s="13"/>
      <c r="U16" s="13"/>
      <c r="V16" s="46"/>
      <c r="W16" s="47" t="s">
        <v>615</v>
      </c>
      <c r="X16" s="48" t="s">
        <v>113</v>
      </c>
    </row>
    <row r="17" spans="1:24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9" t="s">
        <v>111</v>
      </c>
      <c r="O17" s="50">
        <v>37592</v>
      </c>
      <c r="P17" s="4" t="s">
        <v>88</v>
      </c>
      <c r="Q17" s="13">
        <v>79</v>
      </c>
      <c r="R17" s="13">
        <v>3</v>
      </c>
      <c r="S17" s="13">
        <v>89</v>
      </c>
      <c r="T17" s="13">
        <v>37</v>
      </c>
      <c r="U17" s="13">
        <v>298</v>
      </c>
      <c r="V17" s="46">
        <v>0.56699999999999995</v>
      </c>
      <c r="W17" s="47" t="s">
        <v>614</v>
      </c>
      <c r="X17" s="48" t="s">
        <v>89</v>
      </c>
    </row>
    <row r="18" spans="1:24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9" t="s">
        <v>562</v>
      </c>
      <c r="O18" s="50">
        <v>36428</v>
      </c>
      <c r="P18" s="4" t="s">
        <v>99</v>
      </c>
      <c r="Q18" s="13">
        <v>57</v>
      </c>
      <c r="R18" s="13">
        <v>0</v>
      </c>
      <c r="S18" s="13">
        <v>57</v>
      </c>
      <c r="T18" s="13">
        <v>23</v>
      </c>
      <c r="U18" s="13">
        <v>184</v>
      </c>
      <c r="V18" s="46">
        <v>0.54900000000000004</v>
      </c>
      <c r="W18" s="47" t="s">
        <v>617</v>
      </c>
      <c r="X18" s="48" t="s">
        <v>90</v>
      </c>
    </row>
    <row r="19" spans="1:24">
      <c r="A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4" t="s">
        <v>185</v>
      </c>
      <c r="O19" s="50">
        <v>37253</v>
      </c>
      <c r="P19" s="4" t="s">
        <v>176</v>
      </c>
      <c r="Q19" s="13">
        <v>62</v>
      </c>
      <c r="R19" s="13">
        <v>6</v>
      </c>
      <c r="S19" s="13">
        <v>15</v>
      </c>
      <c r="T19" s="13">
        <v>99</v>
      </c>
      <c r="U19" s="13">
        <v>243</v>
      </c>
      <c r="V19" s="46">
        <v>0.59</v>
      </c>
      <c r="W19" s="47" t="s">
        <v>614</v>
      </c>
      <c r="X19" s="48" t="s">
        <v>177</v>
      </c>
    </row>
    <row r="20" spans="1:24">
      <c r="A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59" t="s">
        <v>563</v>
      </c>
      <c r="O20" s="50">
        <v>37067</v>
      </c>
      <c r="P20" s="4" t="s">
        <v>620</v>
      </c>
      <c r="Q20" s="13">
        <v>58</v>
      </c>
      <c r="R20" s="13">
        <v>8</v>
      </c>
      <c r="S20" s="13">
        <v>15</v>
      </c>
      <c r="T20" s="13">
        <v>41</v>
      </c>
      <c r="U20" s="13">
        <v>182</v>
      </c>
      <c r="V20" s="46">
        <v>0.623</v>
      </c>
      <c r="W20" s="47" t="s">
        <v>622</v>
      </c>
      <c r="X20" s="48" t="s">
        <v>621</v>
      </c>
    </row>
    <row r="21" spans="1:24">
      <c r="A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59" t="s">
        <v>141</v>
      </c>
      <c r="O21" s="50">
        <v>36071</v>
      </c>
      <c r="P21" s="4" t="s">
        <v>85</v>
      </c>
      <c r="Q21" s="13">
        <v>79</v>
      </c>
      <c r="R21" s="13">
        <v>1</v>
      </c>
      <c r="S21" s="13">
        <v>6</v>
      </c>
      <c r="T21" s="13">
        <v>74</v>
      </c>
      <c r="U21" s="13">
        <v>244</v>
      </c>
      <c r="V21" s="46">
        <v>0.64</v>
      </c>
      <c r="W21" s="47" t="s">
        <v>614</v>
      </c>
      <c r="X21" s="48" t="s">
        <v>59</v>
      </c>
    </row>
    <row r="22" spans="1:24">
      <c r="A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59" t="s">
        <v>174</v>
      </c>
      <c r="O22" s="50">
        <v>36278</v>
      </c>
      <c r="P22" s="4" t="s">
        <v>10</v>
      </c>
      <c r="Q22" s="13">
        <v>52</v>
      </c>
      <c r="R22" s="13">
        <v>1</v>
      </c>
      <c r="S22" s="13">
        <v>16</v>
      </c>
      <c r="T22" s="13">
        <v>58</v>
      </c>
      <c r="U22" s="13">
        <v>213</v>
      </c>
      <c r="V22" s="46">
        <v>0.64900000000000002</v>
      </c>
      <c r="W22" s="47" t="s">
        <v>614</v>
      </c>
      <c r="X22" s="48" t="s">
        <v>55</v>
      </c>
    </row>
    <row r="23" spans="1:24">
      <c r="A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59" t="s">
        <v>101</v>
      </c>
      <c r="O23" s="50">
        <v>36629</v>
      </c>
      <c r="P23" s="4" t="s">
        <v>70</v>
      </c>
      <c r="Q23" s="13">
        <v>81</v>
      </c>
      <c r="R23" s="13">
        <v>7</v>
      </c>
      <c r="S23" s="13">
        <v>106</v>
      </c>
      <c r="T23" s="13">
        <v>32</v>
      </c>
      <c r="U23" s="13">
        <v>27</v>
      </c>
      <c r="V23" s="46">
        <v>0.55300000000000005</v>
      </c>
      <c r="W23" s="47" t="s">
        <v>614</v>
      </c>
      <c r="X23" s="48" t="s">
        <v>71</v>
      </c>
    </row>
    <row r="24" spans="1:24">
      <c r="A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59" t="s">
        <v>292</v>
      </c>
      <c r="O24" s="50">
        <v>38453</v>
      </c>
      <c r="P24" s="4" t="s">
        <v>70</v>
      </c>
      <c r="Q24" s="13">
        <v>7</v>
      </c>
      <c r="R24" s="13">
        <v>0</v>
      </c>
      <c r="S24" s="13">
        <v>2</v>
      </c>
      <c r="T24" s="13">
        <v>2</v>
      </c>
      <c r="U24" s="13">
        <v>14</v>
      </c>
      <c r="V24" s="46">
        <v>0.63600000000000001</v>
      </c>
      <c r="W24" s="47" t="s">
        <v>614</v>
      </c>
      <c r="X24" s="48" t="s">
        <v>71</v>
      </c>
    </row>
    <row r="25" spans="1:24">
      <c r="A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59" t="s">
        <v>290</v>
      </c>
      <c r="O25" s="50">
        <v>38973</v>
      </c>
      <c r="P25" s="4" t="s">
        <v>70</v>
      </c>
      <c r="Q25" s="13">
        <v>10</v>
      </c>
      <c r="R25" s="13">
        <v>0</v>
      </c>
      <c r="S25" s="13">
        <v>7</v>
      </c>
      <c r="T25" s="13">
        <v>1</v>
      </c>
      <c r="U25" s="13">
        <v>19</v>
      </c>
      <c r="V25" s="46">
        <v>0.41299999999999998</v>
      </c>
      <c r="W25" s="66" t="s">
        <v>614</v>
      </c>
      <c r="X25" s="48" t="s">
        <v>71</v>
      </c>
    </row>
    <row r="26" spans="1:24">
      <c r="A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4"/>
      <c r="O26" s="11"/>
      <c r="P26" s="31"/>
      <c r="Q26" s="60"/>
      <c r="R26" s="60"/>
      <c r="S26" s="60"/>
      <c r="T26" s="60"/>
      <c r="U26" s="60"/>
      <c r="V26" s="68"/>
      <c r="W26" s="69"/>
      <c r="X26" s="30"/>
    </row>
    <row r="27" spans="1:24">
      <c r="A27" s="1"/>
      <c r="C27" s="2"/>
      <c r="D27" s="2"/>
      <c r="E27" s="2"/>
      <c r="F27" s="2"/>
      <c r="G27" s="2"/>
      <c r="H27" s="2"/>
      <c r="I27" s="10"/>
      <c r="J27" s="2"/>
      <c r="K27" s="2"/>
      <c r="L27" s="2"/>
      <c r="M27" s="2"/>
      <c r="N27" s="12" t="s">
        <v>221</v>
      </c>
      <c r="O27" s="11"/>
      <c r="P27" s="31"/>
      <c r="Q27" s="11"/>
      <c r="R27" s="11"/>
      <c r="S27" s="11"/>
      <c r="T27" s="11"/>
      <c r="U27" s="11"/>
      <c r="V27" s="11"/>
      <c r="W27" s="70"/>
      <c r="X27" s="40"/>
    </row>
    <row r="28" spans="1:24" ht="15.75">
      <c r="C28" s="2"/>
      <c r="D28" s="2"/>
      <c r="E28" s="2"/>
      <c r="F28" s="2"/>
      <c r="G28" s="2"/>
      <c r="H28" s="2"/>
      <c r="I28" s="102"/>
      <c r="J28" s="2"/>
      <c r="K28" s="2"/>
      <c r="L28" s="2"/>
      <c r="M28" s="2"/>
      <c r="N28" s="14" t="s">
        <v>5</v>
      </c>
      <c r="O28" s="41" t="s">
        <v>0</v>
      </c>
      <c r="P28" s="3" t="s">
        <v>3</v>
      </c>
      <c r="Q28" s="6" t="s">
        <v>13</v>
      </c>
      <c r="R28" s="6" t="s">
        <v>14</v>
      </c>
      <c r="S28" s="6" t="s">
        <v>15</v>
      </c>
      <c r="T28" s="6" t="s">
        <v>16</v>
      </c>
      <c r="U28" s="6" t="s">
        <v>17</v>
      </c>
      <c r="V28" s="42" t="s">
        <v>18</v>
      </c>
      <c r="W28" s="71" t="s">
        <v>222</v>
      </c>
      <c r="X28" s="33" t="s">
        <v>223</v>
      </c>
    </row>
    <row r="29" spans="1:24" ht="15.75">
      <c r="C29" s="2"/>
      <c r="D29" s="2"/>
      <c r="E29" s="2"/>
      <c r="F29" s="2"/>
      <c r="G29" s="2"/>
      <c r="H29" s="2"/>
      <c r="I29" s="102"/>
      <c r="J29" s="2"/>
      <c r="K29" s="2"/>
      <c r="L29" s="2"/>
      <c r="M29" s="2"/>
      <c r="N29" s="49" t="s">
        <v>562</v>
      </c>
      <c r="O29" s="50">
        <v>36428</v>
      </c>
      <c r="P29" s="4" t="s">
        <v>99</v>
      </c>
      <c r="Q29" s="13">
        <v>24</v>
      </c>
      <c r="R29" s="13">
        <v>0</v>
      </c>
      <c r="S29" s="13">
        <v>2</v>
      </c>
      <c r="T29" s="13">
        <v>3</v>
      </c>
      <c r="U29" s="13">
        <v>39</v>
      </c>
      <c r="V29" s="46">
        <v>0.34499999999999997</v>
      </c>
      <c r="W29" s="72">
        <v>25.3</v>
      </c>
      <c r="X29" s="48" t="s">
        <v>614</v>
      </c>
    </row>
    <row r="30" spans="1:24" ht="15.75">
      <c r="C30" s="2"/>
      <c r="D30" s="2"/>
      <c r="E30" s="2"/>
      <c r="F30" s="2"/>
      <c r="G30" s="2"/>
      <c r="H30" s="2"/>
      <c r="I30" s="102"/>
      <c r="J30" s="2"/>
      <c r="K30" s="2"/>
      <c r="L30" s="2"/>
      <c r="M30" s="2"/>
      <c r="N30" s="59" t="s">
        <v>101</v>
      </c>
      <c r="O30" s="50">
        <v>36629</v>
      </c>
      <c r="P30" s="4" t="s">
        <v>70</v>
      </c>
      <c r="Q30" s="13">
        <v>9</v>
      </c>
      <c r="R30" s="13">
        <v>0</v>
      </c>
      <c r="S30" s="13">
        <v>2</v>
      </c>
      <c r="T30" s="13">
        <v>1</v>
      </c>
      <c r="U30" s="13">
        <v>13</v>
      </c>
      <c r="V30" s="46">
        <v>0.35099999999999998</v>
      </c>
      <c r="W30" s="72">
        <v>9.6999999999999993</v>
      </c>
      <c r="X30" s="48" t="s">
        <v>614</v>
      </c>
    </row>
    <row r="31" spans="1:24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9" t="s">
        <v>563</v>
      </c>
      <c r="O31" s="50">
        <v>37067</v>
      </c>
      <c r="P31" s="4" t="s">
        <v>620</v>
      </c>
      <c r="Q31" s="13">
        <v>4</v>
      </c>
      <c r="R31" s="13">
        <v>0</v>
      </c>
      <c r="S31" s="13">
        <v>0</v>
      </c>
      <c r="T31" s="13">
        <v>0</v>
      </c>
      <c r="U31" s="13">
        <v>5</v>
      </c>
      <c r="V31" s="46">
        <v>0.29399999999999998</v>
      </c>
      <c r="W31" s="72">
        <v>3</v>
      </c>
      <c r="X31" s="48" t="s">
        <v>205</v>
      </c>
    </row>
    <row r="32" spans="1:24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9" t="s">
        <v>111</v>
      </c>
      <c r="O32" s="50">
        <v>37592</v>
      </c>
      <c r="P32" s="4" t="s">
        <v>88</v>
      </c>
      <c r="Q32" s="13">
        <v>3</v>
      </c>
      <c r="R32" s="13">
        <v>0</v>
      </c>
      <c r="S32" s="13">
        <v>0</v>
      </c>
      <c r="T32" s="13">
        <v>1</v>
      </c>
      <c r="U32" s="13">
        <v>11</v>
      </c>
      <c r="V32" s="46">
        <v>0.64700000000000002</v>
      </c>
      <c r="W32" s="72">
        <v>0</v>
      </c>
      <c r="X32" s="48" t="s">
        <v>614</v>
      </c>
    </row>
    <row r="33" spans="3:24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59" t="s">
        <v>141</v>
      </c>
      <c r="O33" s="50">
        <v>36071</v>
      </c>
      <c r="P33" s="4" t="s">
        <v>85</v>
      </c>
      <c r="Q33" s="13">
        <v>3</v>
      </c>
      <c r="R33" s="13">
        <v>0</v>
      </c>
      <c r="S33" s="13">
        <v>0</v>
      </c>
      <c r="T33" s="13">
        <v>2</v>
      </c>
      <c r="U33" s="13">
        <v>11</v>
      </c>
      <c r="V33" s="46">
        <v>0.78600000000000003</v>
      </c>
      <c r="W33" s="72">
        <v>0</v>
      </c>
      <c r="X33" s="48" t="s">
        <v>614</v>
      </c>
    </row>
    <row r="34" spans="3:24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4" t="s">
        <v>185</v>
      </c>
      <c r="O34" s="50">
        <v>37253</v>
      </c>
      <c r="P34" s="4" t="s">
        <v>176</v>
      </c>
      <c r="Q34" s="13">
        <v>3</v>
      </c>
      <c r="R34" s="13">
        <v>0</v>
      </c>
      <c r="S34" s="13">
        <v>0</v>
      </c>
      <c r="T34" s="13">
        <v>1</v>
      </c>
      <c r="U34" s="13">
        <v>9</v>
      </c>
      <c r="V34" s="46">
        <v>0.52900000000000003</v>
      </c>
      <c r="W34" s="72">
        <v>0</v>
      </c>
      <c r="X34" s="48" t="s">
        <v>614</v>
      </c>
    </row>
    <row r="35" spans="3:24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4" t="s">
        <v>126</v>
      </c>
      <c r="O35" s="45">
        <v>37898</v>
      </c>
      <c r="P35" s="4" t="s">
        <v>85</v>
      </c>
      <c r="Q35" s="13">
        <v>3</v>
      </c>
      <c r="R35" s="13">
        <v>0</v>
      </c>
      <c r="S35" s="13">
        <v>1</v>
      </c>
      <c r="T35" s="13">
        <v>0</v>
      </c>
      <c r="U35" s="13">
        <v>7</v>
      </c>
      <c r="V35" s="46">
        <v>0.5</v>
      </c>
      <c r="W35" s="72">
        <v>0</v>
      </c>
      <c r="X35" s="48" t="s">
        <v>614</v>
      </c>
    </row>
    <row r="36" spans="3:24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9" t="s">
        <v>294</v>
      </c>
      <c r="O36" s="50">
        <v>38211</v>
      </c>
      <c r="P36" s="4" t="s">
        <v>85</v>
      </c>
      <c r="Q36" s="13">
        <v>2</v>
      </c>
      <c r="R36" s="13">
        <v>0</v>
      </c>
      <c r="S36" s="13">
        <v>0</v>
      </c>
      <c r="T36" s="13">
        <v>0</v>
      </c>
      <c r="U36" s="13">
        <v>7</v>
      </c>
      <c r="V36" s="46">
        <v>0.46700000000000003</v>
      </c>
      <c r="W36" s="72">
        <v>0</v>
      </c>
      <c r="X36" s="48" t="s">
        <v>614</v>
      </c>
    </row>
    <row r="37" spans="3:24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154" t="s">
        <v>560</v>
      </c>
      <c r="O37" s="155">
        <v>38493</v>
      </c>
      <c r="P37" s="63" t="s">
        <v>53</v>
      </c>
      <c r="Q37" s="64">
        <v>1</v>
      </c>
      <c r="R37" s="64">
        <v>0</v>
      </c>
      <c r="S37" s="64">
        <v>1</v>
      </c>
      <c r="T37" s="64">
        <v>0</v>
      </c>
      <c r="U37" s="64">
        <v>2</v>
      </c>
      <c r="V37" s="65">
        <v>0.4</v>
      </c>
      <c r="W37" s="82">
        <v>0</v>
      </c>
      <c r="X37" s="67" t="s">
        <v>413</v>
      </c>
    </row>
    <row r="38" spans="3:24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4"/>
      <c r="O38" s="11"/>
      <c r="P38" s="24"/>
      <c r="Q38" s="11"/>
      <c r="R38" s="11"/>
      <c r="S38" s="11"/>
      <c r="T38" s="11"/>
      <c r="U38" s="11"/>
      <c r="V38" s="11"/>
      <c r="W38" s="24"/>
      <c r="X38" s="24"/>
    </row>
    <row r="39" spans="3:24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2"/>
      <c r="W39" s="2"/>
      <c r="X39" s="2"/>
    </row>
    <row r="40" spans="3:24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"/>
      <c r="W40" s="2"/>
      <c r="X40" s="2"/>
    </row>
    <row r="41" spans="3:24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P41" s="2"/>
      <c r="W41" s="2"/>
      <c r="X41" s="2"/>
    </row>
    <row r="42" spans="3:24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P42" s="2"/>
      <c r="W42" s="2"/>
      <c r="X42" s="2"/>
    </row>
    <row r="43" spans="3:24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P43" s="2"/>
      <c r="W43" s="2"/>
      <c r="X43" s="2"/>
    </row>
    <row r="44" spans="3:24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P44" s="2"/>
      <c r="W44" s="2"/>
      <c r="X44" s="2"/>
    </row>
    <row r="45" spans="3:24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P45" s="2"/>
      <c r="W45" s="2"/>
      <c r="X45" s="2"/>
    </row>
    <row r="46" spans="3:24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P46" s="2"/>
      <c r="W46" s="2"/>
      <c r="X46" s="2"/>
    </row>
    <row r="47" spans="3:24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P47" s="2"/>
      <c r="W47" s="2"/>
      <c r="X47" s="2"/>
    </row>
    <row r="48" spans="3:24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P48" s="2"/>
      <c r="W48" s="2"/>
      <c r="X48" s="2"/>
    </row>
    <row r="49" spans="3:24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P49" s="2"/>
      <c r="W49" s="2"/>
      <c r="X49" s="2"/>
    </row>
    <row r="50" spans="3:24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P50" s="2"/>
      <c r="W50" s="2"/>
      <c r="X50" s="2"/>
    </row>
    <row r="51" spans="3:24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P51" s="2"/>
      <c r="W51" s="2"/>
      <c r="X51" s="2"/>
    </row>
    <row r="52" spans="3:24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P52" s="2"/>
      <c r="W52" s="2"/>
      <c r="X52" s="2"/>
    </row>
    <row r="53" spans="3:24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P53" s="2"/>
      <c r="W53" s="2"/>
      <c r="X53" s="2"/>
    </row>
    <row r="54" spans="3:24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P54" s="2"/>
      <c r="W54" s="2"/>
      <c r="X54" s="2"/>
    </row>
    <row r="55" spans="3:24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P55" s="2"/>
      <c r="W55" s="2"/>
      <c r="X55" s="2"/>
    </row>
    <row r="56" spans="3:24">
      <c r="P56" s="2"/>
      <c r="W56" s="2"/>
      <c r="X56" s="2"/>
    </row>
    <row r="57" spans="3:24">
      <c r="P57" s="2"/>
      <c r="W57" s="2"/>
      <c r="X57" s="2"/>
    </row>
    <row r="58" spans="3:24">
      <c r="P58" s="2"/>
      <c r="W58" s="2"/>
      <c r="X58" s="2"/>
    </row>
    <row r="59" spans="3:24">
      <c r="P59" s="2"/>
      <c r="W59" s="2"/>
      <c r="X59" s="2"/>
    </row>
    <row r="60" spans="3:24">
      <c r="P60" s="2"/>
      <c r="W60" s="2"/>
      <c r="X60" s="2"/>
    </row>
  </sheetData>
  <sortState xmlns:xlrd2="http://schemas.microsoft.com/office/spreadsheetml/2017/richdata2" ref="N29:X37">
    <sortCondition descending="1" ref="W29:W37"/>
    <sortCondition descending="1" ref="U29:U3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17</vt:i4>
      </vt:variant>
    </vt:vector>
  </HeadingPairs>
  <TitlesOfParts>
    <vt:vector size="17" baseType="lpstr">
      <vt:lpstr>NYP 2024</vt:lpstr>
      <vt:lpstr>Tarmo</vt:lpstr>
      <vt:lpstr>Jalas</vt:lpstr>
      <vt:lpstr>Jana</vt:lpstr>
      <vt:lpstr>Kirittäret 2</vt:lpstr>
      <vt:lpstr>KPK</vt:lpstr>
      <vt:lpstr>Puhti</vt:lpstr>
      <vt:lpstr>LaJy</vt:lpstr>
      <vt:lpstr>LaVe</vt:lpstr>
      <vt:lpstr>Pesä Ysit</vt:lpstr>
      <vt:lpstr>PattU</vt:lpstr>
      <vt:lpstr>Pesäkarhut 2</vt:lpstr>
      <vt:lpstr>Likat</vt:lpstr>
      <vt:lpstr>SMJ 2</vt:lpstr>
      <vt:lpstr>SiiPe</vt:lpstr>
      <vt:lpstr>TyTe</vt:lpstr>
      <vt:lpstr>YK</vt:lpstr>
    </vt:vector>
  </TitlesOfParts>
  <Company>Pee-Mediat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Arto Ojaniemi</dc:creator>
  <cp:lastModifiedBy>Martti Ruuska</cp:lastModifiedBy>
  <cp:lastPrinted>2011-02-25T09:15:15Z</cp:lastPrinted>
  <dcterms:created xsi:type="dcterms:W3CDTF">2000-09-25T22:23:29Z</dcterms:created>
  <dcterms:modified xsi:type="dcterms:W3CDTF">2024-06-05T07:36:27Z</dcterms:modified>
</cp:coreProperties>
</file>